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wcs00725\VDOT_ITD05$\OIPI\OIPI-General\SMART-SCALE\Website Resources\Final Web Documents\Resources\"/>
    </mc:Choice>
  </mc:AlternateContent>
  <xr:revisionPtr revIDLastSave="0" documentId="13_ncr:1_{75828A68-4DA3-4D53-848F-9F3D98547125}" xr6:coauthVersionLast="47" xr6:coauthVersionMax="47" xr10:uidLastSave="{00000000-0000-0000-0000-000000000000}"/>
  <bookViews>
    <workbookView xWindow="-108" yWindow="-108" windowWidth="23256" windowHeight="13896" tabRatio="692" firstSheet="5" activeTab="9" xr2:uid="{84608831-FE83-41AD-8117-41D83EB82545}"/>
  </bookViews>
  <sheets>
    <sheet name="Skew Angle" sheetId="1" r:id="rId1"/>
    <sheet name="Acceleration Lane" sheetId="2" r:id="rId2"/>
    <sheet name="Widen Lane - Rural" sheetId="3" r:id="rId3"/>
    <sheet name="Widen Lane - Urban" sheetId="4" r:id="rId4"/>
    <sheet name="Shoulder Widening" sheetId="5" r:id="rId5"/>
    <sheet name="RHR" sheetId="6" r:id="rId6"/>
    <sheet name="Add Left-Turn Lane" sheetId="7" r:id="rId7"/>
    <sheet name="Add Right-Turn Lane" sheetId="8" r:id="rId8"/>
    <sheet name="Bicycle Facilities" sheetId="10" r:id="rId9"/>
    <sheet name="Driveway Density" sheetId="11" r:id="rId10"/>
  </sheets>
  <definedNames>
    <definedName name="Area">'Skew Angle'!$H$9:$H$10</definedName>
    <definedName name="Legs">'Skew Angle'!$I$9:$I$10</definedName>
    <definedName name="RHR">RHR!$E$2:$E$8</definedName>
    <definedName name="Types">'Shoulder Widening'!$K$2:$K$5</definedName>
    <definedName name="width">'Widen Lane - Rural'!$J$3:$J$9</definedName>
  </definedNames>
  <calcPr calcId="191029" iterate="1" iterateCount="2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9" i="10" l="1"/>
  <c r="O9" i="10"/>
  <c r="A6" i="8"/>
  <c r="A5" i="8"/>
  <c r="A6" i="7"/>
  <c r="A5" i="7"/>
  <c r="N29" i="11"/>
  <c r="N28" i="11"/>
  <c r="B5" i="10"/>
  <c r="B5" i="2"/>
  <c r="B8" i="11" l="1"/>
  <c r="T3" i="8"/>
  <c r="Y2" i="8" l="1"/>
  <c r="U3" i="8"/>
  <c r="T5" i="8"/>
  <c r="U5" i="8"/>
  <c r="T6" i="8"/>
  <c r="U6" i="8"/>
  <c r="V6" i="8"/>
  <c r="W6" i="8"/>
  <c r="T7" i="8"/>
  <c r="Y8" i="8"/>
  <c r="T9" i="8"/>
  <c r="U9" i="8"/>
  <c r="T11" i="8"/>
  <c r="U11" i="8"/>
  <c r="AA3" i="8" s="1" a="1"/>
  <c r="T12" i="8"/>
  <c r="U12" i="8"/>
  <c r="Y12" i="8"/>
  <c r="T13" i="8"/>
  <c r="U13" i="8"/>
  <c r="T14" i="8"/>
  <c r="U14" i="8"/>
  <c r="V14" i="8"/>
  <c r="W14" i="8"/>
  <c r="Y15" i="8"/>
  <c r="Y2" i="7"/>
  <c r="T3" i="7"/>
  <c r="U3" i="7"/>
  <c r="AA3" i="7" a="1"/>
  <c r="T5" i="7"/>
  <c r="U5" i="7"/>
  <c r="T6" i="7"/>
  <c r="U6" i="7"/>
  <c r="V6" i="7"/>
  <c r="W6" i="7"/>
  <c r="T7" i="7"/>
  <c r="Y8" i="7"/>
  <c r="T9" i="7"/>
  <c r="U9" i="7"/>
  <c r="T11" i="7"/>
  <c r="U11" i="7"/>
  <c r="T12" i="7"/>
  <c r="U12" i="7"/>
  <c r="V12" i="7"/>
  <c r="Y12" i="7"/>
  <c r="T13" i="7"/>
  <c r="U13" i="7"/>
  <c r="T14" i="7"/>
  <c r="U14" i="7"/>
  <c r="V14" i="7"/>
  <c r="W14" i="7"/>
  <c r="Y15" i="7"/>
  <c r="AA9" i="8" l="1" a="1"/>
  <c r="AA9" i="8" s="1"/>
  <c r="AA13" i="8" s="1" a="1"/>
  <c r="AA3" i="8"/>
  <c r="AA3" i="7"/>
  <c r="AA9" i="7" s="1" a="1"/>
  <c r="AA9" i="7" s="1"/>
  <c r="AA13" i="7" s="1" a="1"/>
  <c r="AA13" i="7" s="1"/>
  <c r="Z17" i="7" s="1"/>
  <c r="AA13" i="8" l="1"/>
  <c r="Z16" i="8" s="1"/>
  <c r="Z17" i="8"/>
  <c r="Z16" i="7"/>
  <c r="Z19" i="7" s="1"/>
  <c r="M3" i="5"/>
  <c r="L20" i="1"/>
  <c r="I20" i="1"/>
  <c r="L19" i="1"/>
  <c r="I19" i="1"/>
  <c r="H12" i="1"/>
  <c r="J17" i="1" s="1"/>
  <c r="Z19" i="8" l="1"/>
  <c r="B8" i="8" s="1"/>
  <c r="B8" i="7"/>
  <c r="L17" i="1"/>
  <c r="N17" i="1"/>
  <c r="I22" i="1" s="1"/>
  <c r="K17" i="1"/>
  <c r="I17" i="1"/>
  <c r="M17" i="1"/>
  <c r="B5" i="6"/>
  <c r="L23" i="1" l="1"/>
  <c r="I23" i="1"/>
  <c r="L22" i="1"/>
  <c r="L28" i="5"/>
  <c r="N21" i="5"/>
  <c r="N22" i="5" s="1"/>
  <c r="N23" i="5" s="1"/>
  <c r="N24" i="5" s="1"/>
  <c r="N25" i="5" s="1"/>
  <c r="N26" i="5" s="1"/>
  <c r="L21" i="5"/>
  <c r="L22" i="5" s="1"/>
  <c r="L23" i="5" s="1"/>
  <c r="L24" i="5" s="1"/>
  <c r="L25" i="5" s="1"/>
  <c r="L26" i="5" s="1"/>
  <c r="M20" i="5"/>
  <c r="M21" i="5" s="1"/>
  <c r="M22" i="5" s="1"/>
  <c r="M23" i="5" s="1"/>
  <c r="M24" i="5" s="1"/>
  <c r="M25" i="5" s="1"/>
  <c r="M26" i="5" s="1"/>
  <c r="M18" i="5"/>
  <c r="M16" i="5"/>
  <c r="M14" i="5"/>
  <c r="M12" i="5"/>
  <c r="N19" i="5"/>
  <c r="L19" i="5"/>
  <c r="N17" i="5"/>
  <c r="L17" i="5"/>
  <c r="N15" i="5"/>
  <c r="L15" i="5"/>
  <c r="N13" i="5"/>
  <c r="L13" i="5"/>
  <c r="M4" i="5"/>
  <c r="M2" i="5"/>
  <c r="B7" i="1" l="1"/>
  <c r="M19" i="5"/>
  <c r="M17" i="5"/>
  <c r="M15" i="5"/>
  <c r="L29" i="5" s="1"/>
  <c r="M5" i="5" s="1"/>
  <c r="B7" i="5" s="1"/>
  <c r="M13" i="5"/>
  <c r="I8" i="4"/>
  <c r="I7" i="4"/>
  <c r="I6" i="4"/>
  <c r="I12" i="4" s="1"/>
  <c r="I5" i="4"/>
  <c r="I4" i="4"/>
  <c r="I3" i="4"/>
  <c r="I11" i="4" s="1"/>
  <c r="B6" i="4" l="1"/>
  <c r="K13" i="3" l="1"/>
  <c r="L7" i="3" l="1"/>
  <c r="L8" i="3" s="1"/>
  <c r="L5" i="3"/>
  <c r="L6" i="3" s="1"/>
  <c r="L3" i="3"/>
  <c r="M8" i="3"/>
  <c r="M6" i="3"/>
  <c r="M4" i="3"/>
  <c r="K12" i="3" s="1"/>
  <c r="K15" i="3" s="1"/>
  <c r="K8" i="3"/>
  <c r="K6" i="3"/>
  <c r="K4" i="3"/>
  <c r="K35" i="3" l="1"/>
  <c r="K36" i="3"/>
  <c r="K30" i="3"/>
  <c r="K31" i="3"/>
  <c r="K32" i="3"/>
  <c r="L4" i="3"/>
  <c r="K16" i="3" l="1"/>
  <c r="B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<sst xmlns="http://schemas.openxmlformats.org/spreadsheetml/2006/main" count="472" uniqueCount="200">
  <si>
    <t>Rural 3-Leg</t>
  </si>
  <si>
    <t>alpha</t>
  </si>
  <si>
    <t>beta</t>
  </si>
  <si>
    <t>delta</t>
  </si>
  <si>
    <t>tau</t>
  </si>
  <si>
    <t>Area adjustment [1 if rural, 0 if urban]</t>
  </si>
  <si>
    <t>Proposed Intersection Angle:</t>
  </si>
  <si>
    <t>Existing Intersection Angle:</t>
  </si>
  <si>
    <t>Degrees</t>
  </si>
  <si>
    <t>Area Type:</t>
  </si>
  <si>
    <t>Number of Legs:</t>
  </si>
  <si>
    <t>Area</t>
  </si>
  <si>
    <t>Legs</t>
  </si>
  <si>
    <t>Rural</t>
  </si>
  <si>
    <t>Urban</t>
  </si>
  <si>
    <t>Rural 4-Leg</t>
  </si>
  <si>
    <t>Urban 3-Leg</t>
  </si>
  <si>
    <t>Urban 4-Leg</t>
  </si>
  <si>
    <t>3-Leg</t>
  </si>
  <si>
    <t>4-Leg</t>
  </si>
  <si>
    <t>Intersection Angle CMF:</t>
  </si>
  <si>
    <t>Calculation</t>
  </si>
  <si>
    <t>Type:</t>
  </si>
  <si>
    <t>Radians</t>
  </si>
  <si>
    <t>http://www.cmfclearinghouse.org/detail.cfm?facid=10065</t>
  </si>
  <si>
    <t>http://www.cmfclearinghouse.org/detail.cfm?facid=10068</t>
  </si>
  <si>
    <t>http://www.cmfclearinghouse.org/detail.cfm?facid=10070</t>
  </si>
  <si>
    <t>http://www.cmfclearinghouse.org/detail.cfm?facid=10072</t>
  </si>
  <si>
    <t>Proposed Acceleration Lane Length:</t>
  </si>
  <si>
    <t>Existing Acceleration Lane Length:</t>
  </si>
  <si>
    <t>CMF:</t>
  </si>
  <si>
    <t>Chapter 10 - HSM</t>
  </si>
  <si>
    <t>Lane Width</t>
  </si>
  <si>
    <t>AADT &lt; 400</t>
  </si>
  <si>
    <t>AADT &gt; 2000</t>
  </si>
  <si>
    <t>AADT:</t>
  </si>
  <si>
    <t>400 &lt;= AADT &lt;= 2000</t>
  </si>
  <si>
    <t>Existing Lane Width:</t>
  </si>
  <si>
    <t>Proposed Lane Width:</t>
  </si>
  <si>
    <t>Inputs</t>
  </si>
  <si>
    <t>Feet</t>
  </si>
  <si>
    <t>Existing Average Lane Width:</t>
  </si>
  <si>
    <t>Proposed Average Lane Width:</t>
  </si>
  <si>
    <t>Proposed Adjustment Factor:</t>
  </si>
  <si>
    <t>Existing Adjustment Factor:</t>
  </si>
  <si>
    <t>9' or narrow</t>
  </si>
  <si>
    <t>9.5'</t>
  </si>
  <si>
    <t>10'</t>
  </si>
  <si>
    <t>10.5'</t>
  </si>
  <si>
    <t>11'</t>
  </si>
  <si>
    <t>11.5'</t>
  </si>
  <si>
    <t>12' or wider</t>
  </si>
  <si>
    <t>CMF*:</t>
  </si>
  <si>
    <t>*applies to single-vehicle run-off-the-road and multiple-vehicle head-on, opposite-direction sideswipe, and same-direction sideswipe crashes.</t>
  </si>
  <si>
    <t>Adjusted CMF for All Crashes:</t>
  </si>
  <si>
    <t>Posted Speed Limit:</t>
  </si>
  <si>
    <t>MPH</t>
  </si>
  <si>
    <t>U-LW</t>
  </si>
  <si>
    <t>BU-LW</t>
  </si>
  <si>
    <t>Prop &lt;= 12</t>
  </si>
  <si>
    <t>12 &lt; Prop &lt;= 13</t>
  </si>
  <si>
    <t>13 &lt; Prop</t>
  </si>
  <si>
    <t>Exist &lt;= 12</t>
  </si>
  <si>
    <t>12 &lt; Exist &lt;= 13</t>
  </si>
  <si>
    <t>13 &lt; Exist</t>
  </si>
  <si>
    <t>http://www.cmfclearinghouse.org/detail.cfm?facid=8693</t>
  </si>
  <si>
    <t>Freeway, Inside Shoulder</t>
  </si>
  <si>
    <t>Freeway, Outside Shoulder, Curve</t>
  </si>
  <si>
    <t>Freeway, Outside Shoulder, Tangent</t>
  </si>
  <si>
    <t>Select Shoulder and Facility Type:</t>
  </si>
  <si>
    <t>Existing Width:</t>
  </si>
  <si>
    <t>Proposed Width:</t>
  </si>
  <si>
    <t>a</t>
  </si>
  <si>
    <t>CMF</t>
  </si>
  <si>
    <t>Non-Freeway Shoulder</t>
  </si>
  <si>
    <t>Shoulder Width</t>
  </si>
  <si>
    <t>Adj, Existing:</t>
  </si>
  <si>
    <t>Adj, Proposed:</t>
  </si>
  <si>
    <t>1. Rear End</t>
  </si>
  <si>
    <t>10. Deer</t>
  </si>
  <si>
    <t>11. Other Animal</t>
  </si>
  <si>
    <t>12. Ped</t>
  </si>
  <si>
    <t>13. Bicyclist</t>
  </si>
  <si>
    <t>14. Motorcyclist</t>
  </si>
  <si>
    <t>15. Backed Into</t>
  </si>
  <si>
    <t>16. Other</t>
  </si>
  <si>
    <t>2. Angle</t>
  </si>
  <si>
    <t>3. Head On</t>
  </si>
  <si>
    <t>4. Sideswipe - Same Direction</t>
  </si>
  <si>
    <t>5. Sideswipe - Opposite Direction</t>
  </si>
  <si>
    <t>6. Fixed Object in Road</t>
  </si>
  <si>
    <t>7. Train</t>
  </si>
  <si>
    <t>8. Non-Collision</t>
  </si>
  <si>
    <t>9. Fixed Object - Off Road</t>
  </si>
  <si>
    <t>2-lane rural roads in Virginia, 2014-2018, not at intersection, minor arterial, collectors, locals. KABC crashes</t>
  </si>
  <si>
    <t>RHR</t>
  </si>
  <si>
    <t>Description</t>
  </si>
  <si>
    <t>Wide clear zones greater than or equal to 30 ft from the pavement edgeline; sideslope flatter than 1:4; recoverable</t>
  </si>
  <si>
    <t>Clear zone between 20 and 25 feet from pavement edgeline; sideslope about 1:4; recoverable</t>
  </si>
  <si>
    <t>Clear zone about 10 feet from pavement edgeline; sideslope about 1:3 or 1:4; rough roadside surface; marginally recoverable</t>
  </si>
  <si>
    <t>Clear zone between 5 to 10 feet from pavement edgeline; sideslope about 1:3 or 1:4; may have guardrail (6.5 feet from pavement edgeline); may have exposed trees, poles, or other objects (about 10 ft from pavement edgeline); marinally forgiving, but increased chance of a reportable roadside collision</t>
  </si>
  <si>
    <t>Clear zone between 5 to 10 feet from pavement edgeline; sideslope about 1:3; may have guardrail (0 to 5 feet from pavement edgeline); may have rigid obstacles or embankment within 6.5 to 10 feet of pavement egeline; virtually non-recoverable</t>
  </si>
  <si>
    <t>Clear zone less than or equal to 5 feet; sideslope about 1:2; no guardrail; exposed rigid obstacles within 0 to 6.5 feet of the pavement edgeline; non-recoverable</t>
  </si>
  <si>
    <t>Clear zone less than or equal to 5 feet; sideslope 1:2 or steeper; cliff or vertical rock cut; no guardrail; non-recoverable with high likelihood of severe injuries from roadside collision</t>
  </si>
  <si>
    <t>https://safety.fhwa.dot.gov/tools/data_tools/mirereport/67.cfm</t>
  </si>
  <si>
    <t>For more information, please visit:</t>
  </si>
  <si>
    <t>Existing Roadside Hazard Rating:</t>
  </si>
  <si>
    <t>Proposed Roadside Hazard Rating:</t>
  </si>
  <si>
    <t>CMF for Roadway Departure Crashes</t>
  </si>
  <si>
    <t>CMF, Improved by 1</t>
  </si>
  <si>
    <t>CMF, Improved by 2</t>
  </si>
  <si>
    <t>CMF, Improved by 3</t>
  </si>
  <si>
    <t>CMF, Improved by 4</t>
  </si>
  <si>
    <t>CMF, Improved by 5</t>
  </si>
  <si>
    <t>CMF, Improved by 6</t>
  </si>
  <si>
    <t>Improved By:</t>
  </si>
  <si>
    <t>Targeted CMF</t>
  </si>
  <si>
    <t>Targeted CMF for Roadway Departure Crashes:</t>
  </si>
  <si>
    <t>Angle Breakpoint</t>
  </si>
  <si>
    <t>Angle Indicator</t>
  </si>
  <si>
    <t>=</t>
  </si>
  <si>
    <t>Use Existing Intersection Angle:</t>
  </si>
  <si>
    <t>Use Proposed Intersection Angle:</t>
  </si>
  <si>
    <t>Urban &amp; Suburban Arterial</t>
  </si>
  <si>
    <t>Traffic Signal</t>
  </si>
  <si>
    <t>Four-Leg</t>
  </si>
  <si>
    <t>Rural Multilane Highway</t>
  </si>
  <si>
    <t>Stop Control</t>
  </si>
  <si>
    <t>Three-Leg</t>
  </si>
  <si>
    <t>Rural 2-Lane, 2-Way Road</t>
  </si>
  <si>
    <t>Approaches</t>
  </si>
  <si>
    <t>Select Traffic Control</t>
  </si>
  <si>
    <t>Select Intersection Type</t>
  </si>
  <si>
    <t>Select Road Type</t>
  </si>
  <si>
    <t xml:space="preserve">Final CMF = </t>
  </si>
  <si>
    <t>---</t>
  </si>
  <si>
    <t>Minor-Road Stop Control</t>
  </si>
  <si>
    <t>Four-Leg Intersection</t>
  </si>
  <si>
    <t xml:space="preserve">Proposed CMF = </t>
  </si>
  <si>
    <t>Three-Leg Intersection</t>
  </si>
  <si>
    <t xml:space="preserve">Existing CMF = </t>
  </si>
  <si>
    <t>4 Approaches</t>
  </si>
  <si>
    <t>3 Approaches</t>
  </si>
  <si>
    <t>2 Approaches</t>
  </si>
  <si>
    <t>1  Approach</t>
  </si>
  <si>
    <t>Intersection Traffic Control</t>
  </si>
  <si>
    <t>Intersection Type</t>
  </si>
  <si>
    <t>Number of Approaches with Left-Turn Lanes</t>
  </si>
  <si>
    <t>Table 12-24 Crash Modification Factor for Installation of Left Turn Lanes on Intersection Approaches (Urban &amp; Suburban Arterials) - HSM pg 583</t>
  </si>
  <si>
    <t>Fatal &amp; Injury</t>
  </si>
  <si>
    <t>Four-Leg Minor-Road Stop Control</t>
  </si>
  <si>
    <t>Urban &amp; Suburban Arterials</t>
  </si>
  <si>
    <t>Three-Leg Minor-Road Stop Control</t>
  </si>
  <si>
    <t>1 Approach</t>
  </si>
  <si>
    <t>Crash Severity Level</t>
  </si>
  <si>
    <t>Number of Non-Stop Controlled Approaches with Left-Turn Lanes</t>
  </si>
  <si>
    <t>Table 11-22 Crash Modification Factors (CMF) for Installation of Left Turn Lanes on Intersection Approaches (Rural Multilane Highway) - HSM pg 502</t>
  </si>
  <si>
    <t>4 leg</t>
  </si>
  <si>
    <t>Minor Road Stop Control</t>
  </si>
  <si>
    <t>3 leg</t>
  </si>
  <si>
    <t>Traffic Control</t>
  </si>
  <si>
    <t>Int Type</t>
  </si>
  <si>
    <t>Road Type</t>
  </si>
  <si>
    <t>Table 10-13 Crash Modification Factors (CMF) for Installation of Left-Turn Lanes on Intersection Approaches (Rural 2-Lane, 2-Way Roads) - HSM pg 424</t>
  </si>
  <si>
    <t>Type of Traffic Control</t>
  </si>
  <si>
    <t>Number of Approaches with Right-Turn Lanes</t>
  </si>
  <si>
    <t>Table 12-26 Crash Modification Factor (CMF) for Installation of Right-Turn Lanes on Intersection Approaches (Urban &amp; Suburban Arterials) - HSM pg 584</t>
  </si>
  <si>
    <t>Number of Non-Stop Controlled Approaches with Right-Turn Lanes</t>
  </si>
  <si>
    <t>Table 11-23 Crash Modification Factors (CMF) for Installation of Right Turn Lanes on Intersection Approaches (Rural Multilane Highway) - HSM pg 503</t>
  </si>
  <si>
    <t>Table 10-14 Crash Modification Factors (CMF) for Installation of Right-Turn Lanes on Intersection Approaches (Rural 2-Lane, 2-Way Roads) - HSM pg 425</t>
  </si>
  <si>
    <t>Separated Bicycle Lane with Flexpost Delineators</t>
  </si>
  <si>
    <t xml:space="preserve">Source: </t>
  </si>
  <si>
    <t>FHWA TechBrief HRT-23-025 "Developing Crash Modification Factors for Separated Bicycle Lanes)</t>
  </si>
  <si>
    <t xml:space="preserve">https://highways.dot.gov/sites/fhwa.dot.gov/files/FHWA-HRT-23-025.pdf </t>
  </si>
  <si>
    <t>No Bicycle Lane</t>
  </si>
  <si>
    <t>N/A</t>
  </si>
  <si>
    <t>Existing Conditions Number of Driveways:</t>
  </si>
  <si>
    <t>Segment Length:</t>
  </si>
  <si>
    <t>Proposed Conditions Number of Driveways:</t>
  </si>
  <si>
    <t>Existing Condition:</t>
  </si>
  <si>
    <t>Proposed Condition:</t>
  </si>
  <si>
    <t>Source:</t>
  </si>
  <si>
    <t xml:space="preserve">https://www.cmfclearinghouse.org/detail.php?facid=5216 </t>
  </si>
  <si>
    <t>Separated Bicycle Lane with Other Vertical Separations</t>
  </si>
  <si>
    <t>Traditional On-Street Bicycle Lane</t>
  </si>
  <si>
    <t>2-lane road: HSM</t>
  </si>
  <si>
    <t>https://www.cmfclearinghouse.org/detail.php?facid=2249</t>
  </si>
  <si>
    <t>4-lane road: Fitzpatrick, 2008 (CMF ID: 2249)</t>
  </si>
  <si>
    <t>6-lane road: HSM (minor driveway)</t>
  </si>
  <si>
    <t>SOURCES:</t>
  </si>
  <si>
    <t>Number of Lanes:</t>
  </si>
  <si>
    <t>Select Roadway Type:</t>
  </si>
  <si>
    <t>Select Intersection Type:</t>
  </si>
  <si>
    <t>Select Proposed Traffic Control:</t>
  </si>
  <si>
    <t>Existing Driveways Per Mile Calculation:</t>
  </si>
  <si>
    <t>Dropdown:</t>
  </si>
  <si>
    <t>Vehicles per Day</t>
  </si>
  <si>
    <t>Note: only required for 2-lane road calculations</t>
  </si>
  <si>
    <t>Note: minimum of 1000 feet required</t>
  </si>
  <si>
    <t>Proposed Driveways Per Mile Calculation: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</si>
</sst>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4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4" fillId="0" borderId="0" applyNumberFormat="0" applyFill="0" applyBorder="0" applyAlignment="0" applyProtection="0"/>
    <xf numFmtId="0" fontId="6" fillId="3" borderId="1" applyNumberFormat="0" applyAlignment="0" applyProtection="0"/>
  </cellStyleXfs>
  <cellXfs count="131">
    <xf numFmtId="0" fontId="0" fillId="0" borderId="0" xfId="0"/>
    <xf numFmtId="0" fontId="0" fillId="0" borderId="0" xfId="0" applyAlignment="1">
      <alignment horizontal="right"/>
    </xf>
    <xf numFmtId="0" fontId="1" fillId="2" borderId="1" xfId="1"/>
    <xf numFmtId="0" fontId="2" fillId="3" borderId="2" xfId="2"/>
    <xf numFmtId="0" fontId="0" fillId="4" borderId="0" xfId="0" applyFill="1"/>
    <xf numFmtId="0" fontId="3" fillId="4" borderId="0" xfId="0" applyFont="1" applyFill="1"/>
    <xf numFmtId="0" fontId="3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4" fillId="0" borderId="0" xfId="3"/>
    <xf numFmtId="0" fontId="1" fillId="2" borderId="4" xfId="1" applyBorder="1" applyProtection="1">
      <protection locked="0"/>
    </xf>
    <xf numFmtId="0" fontId="1" fillId="2" borderId="1" xfId="1" applyProtection="1">
      <protection locked="0"/>
    </xf>
    <xf numFmtId="2" fontId="2" fillId="3" borderId="2" xfId="2" applyNumberFormat="1"/>
    <xf numFmtId="2" fontId="0" fillId="4" borderId="0" xfId="0" applyNumberFormat="1" applyFill="1"/>
    <xf numFmtId="0" fontId="0" fillId="0" borderId="0" xfId="0" applyAlignment="1">
      <alignment horizontal="right" wrapText="1"/>
    </xf>
    <xf numFmtId="0" fontId="3" fillId="0" borderId="0" xfId="0" applyFont="1"/>
    <xf numFmtId="0" fontId="0" fillId="4" borderId="0" xfId="0" applyFill="1" applyAlignment="1">
      <alignment horizontal="center"/>
    </xf>
    <xf numFmtId="0" fontId="0" fillId="0" borderId="0" xfId="0" quotePrefix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2" fontId="2" fillId="3" borderId="2" xfId="2" applyNumberFormat="1" applyAlignment="1">
      <alignment horizontal="left"/>
    </xf>
    <xf numFmtId="0" fontId="1" fillId="2" borderId="1" xfId="1" applyAlignment="1">
      <alignment horizontal="left"/>
    </xf>
    <xf numFmtId="0" fontId="5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horizontal="center"/>
    </xf>
    <xf numFmtId="0" fontId="9" fillId="0" borderId="0" xfId="0" applyFont="1"/>
    <xf numFmtId="0" fontId="2" fillId="3" borderId="2" xfId="2" applyAlignment="1">
      <alignment horizontal="center"/>
    </xf>
    <xf numFmtId="164" fontId="2" fillId="3" borderId="2" xfId="2" applyNumberFormat="1"/>
    <xf numFmtId="0" fontId="4" fillId="0" borderId="0" xfId="3" applyFill="1"/>
    <xf numFmtId="0" fontId="3" fillId="4" borderId="5" xfId="0" applyFont="1" applyFill="1" applyBorder="1"/>
    <xf numFmtId="2" fontId="3" fillId="4" borderId="5" xfId="0" applyNumberFormat="1" applyFont="1" applyFill="1" applyBorder="1"/>
    <xf numFmtId="0" fontId="7" fillId="4" borderId="0" xfId="0" applyFont="1" applyFill="1" applyAlignment="1">
      <alignment horizontal="left"/>
    </xf>
    <xf numFmtId="0" fontId="3" fillId="4" borderId="7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 applyAlignment="1">
      <alignment horizontal="center" vertical="center"/>
    </xf>
    <xf numFmtId="0" fontId="0" fillId="4" borderId="5" xfId="0" quotePrefix="1" applyFill="1" applyBorder="1" applyAlignment="1">
      <alignment horizontal="center" vertical="center"/>
    </xf>
    <xf numFmtId="0" fontId="0" fillId="4" borderId="10" xfId="0" applyFill="1" applyBorder="1"/>
    <xf numFmtId="0" fontId="0" fillId="4" borderId="10" xfId="0" applyFill="1" applyBorder="1" applyAlignment="1">
      <alignment horizontal="right"/>
    </xf>
    <xf numFmtId="0" fontId="0" fillId="4" borderId="9" xfId="0" applyFill="1" applyBorder="1" applyAlignment="1">
      <alignment horizontal="right"/>
    </xf>
    <xf numFmtId="0" fontId="0" fillId="4" borderId="8" xfId="0" applyFill="1" applyBorder="1" applyAlignment="1">
      <alignment horizontal="right"/>
    </xf>
    <xf numFmtId="0" fontId="0" fillId="4" borderId="0" xfId="0" applyFill="1" applyAlignment="1">
      <alignment vertical="center"/>
    </xf>
    <xf numFmtId="0" fontId="0" fillId="4" borderId="9" xfId="0" applyFill="1" applyBorder="1" applyAlignment="1">
      <alignment horizontal="center"/>
    </xf>
    <xf numFmtId="0" fontId="0" fillId="4" borderId="9" xfId="0" quotePrefix="1" applyFill="1" applyBorder="1" applyAlignment="1">
      <alignment horizontal="center"/>
    </xf>
    <xf numFmtId="0" fontId="0" fillId="4" borderId="8" xfId="0" quotePrefix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2" fontId="0" fillId="4" borderId="9" xfId="0" applyNumberFormat="1" applyFill="1" applyBorder="1" applyAlignment="1">
      <alignment horizontal="right"/>
    </xf>
    <xf numFmtId="0" fontId="0" fillId="4" borderId="11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5" xfId="0" quotePrefix="1" applyFill="1" applyBorder="1" applyAlignment="1">
      <alignment horizontal="center"/>
    </xf>
    <xf numFmtId="0" fontId="0" fillId="4" borderId="14" xfId="0" quotePrefix="1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2" fontId="0" fillId="4" borderId="10" xfId="0" applyNumberFormat="1" applyFill="1" applyBorder="1" applyAlignment="1">
      <alignment horizontal="right"/>
    </xf>
    <xf numFmtId="0" fontId="7" fillId="4" borderId="0" xfId="0" applyFont="1" applyFill="1" applyAlignment="1">
      <alignment vertical="center"/>
    </xf>
    <xf numFmtId="0" fontId="8" fillId="4" borderId="10" xfId="0" applyFont="1" applyFill="1" applyBorder="1"/>
    <xf numFmtId="0" fontId="8" fillId="4" borderId="8" xfId="0" applyFont="1" applyFill="1" applyBorder="1"/>
    <xf numFmtId="0" fontId="8" fillId="4" borderId="0" xfId="0" applyFont="1" applyFill="1" applyAlignment="1">
      <alignment horizontal="center"/>
    </xf>
    <xf numFmtId="0" fontId="0" fillId="4" borderId="7" xfId="0" applyFill="1" applyBorder="1"/>
    <xf numFmtId="0" fontId="0" fillId="4" borderId="16" xfId="0" applyFill="1" applyBorder="1" applyAlignment="1">
      <alignment horizontal="right"/>
    </xf>
    <xf numFmtId="0" fontId="0" fillId="4" borderId="15" xfId="0" applyFill="1" applyBorder="1" applyAlignment="1">
      <alignment horizontal="right"/>
    </xf>
    <xf numFmtId="0" fontId="0" fillId="4" borderId="14" xfId="0" applyFill="1" applyBorder="1" applyAlignment="1">
      <alignment horizontal="right"/>
    </xf>
    <xf numFmtId="0" fontId="3" fillId="4" borderId="8" xfId="0" applyFont="1" applyFill="1" applyBorder="1" applyAlignment="1">
      <alignment horizontal="center"/>
    </xf>
    <xf numFmtId="0" fontId="0" fillId="4" borderId="6" xfId="0" applyFill="1" applyBorder="1"/>
    <xf numFmtId="0" fontId="0" fillId="4" borderId="13" xfId="0" applyFill="1" applyBorder="1" applyAlignment="1">
      <alignment horizontal="right"/>
    </xf>
    <xf numFmtId="0" fontId="0" fillId="4" borderId="3" xfId="0" applyFill="1" applyBorder="1" applyAlignment="1">
      <alignment horizontal="right"/>
    </xf>
    <xf numFmtId="2" fontId="0" fillId="4" borderId="3" xfId="0" applyNumberFormat="1" applyFill="1" applyBorder="1" applyAlignment="1">
      <alignment horizontal="right"/>
    </xf>
    <xf numFmtId="0" fontId="0" fillId="4" borderId="12" xfId="0" applyFill="1" applyBorder="1" applyAlignment="1">
      <alignment horizontal="right"/>
    </xf>
    <xf numFmtId="0" fontId="0" fillId="4" borderId="5" xfId="0" applyFill="1" applyBorder="1"/>
    <xf numFmtId="0" fontId="0" fillId="4" borderId="11" xfId="0" applyFill="1" applyBorder="1" applyAlignment="1">
      <alignment horizontal="center" vertical="center"/>
    </xf>
    <xf numFmtId="0" fontId="0" fillId="4" borderId="8" xfId="0" applyFill="1" applyBorder="1" applyAlignment="1">
      <alignment horizontal="center"/>
    </xf>
    <xf numFmtId="0" fontId="0" fillId="4" borderId="6" xfId="0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9" xfId="0" applyFill="1" applyBorder="1"/>
    <xf numFmtId="2" fontId="0" fillId="4" borderId="9" xfId="0" applyNumberFormat="1" applyFill="1" applyBorder="1"/>
    <xf numFmtId="0" fontId="0" fillId="4" borderId="8" xfId="0" applyFill="1" applyBorder="1"/>
    <xf numFmtId="0" fontId="0" fillId="4" borderId="7" xfId="0" applyFill="1" applyBorder="1" applyAlignment="1">
      <alignment horizontal="center"/>
    </xf>
    <xf numFmtId="0" fontId="0" fillId="4" borderId="7" xfId="0" quotePrefix="1" applyFill="1" applyBorder="1" applyAlignment="1">
      <alignment horizontal="center"/>
    </xf>
    <xf numFmtId="2" fontId="0" fillId="4" borderId="5" xfId="0" applyNumberFormat="1" applyFill="1" applyBorder="1"/>
    <xf numFmtId="2" fontId="0" fillId="4" borderId="6" xfId="0" applyNumberFormat="1" applyFill="1" applyBorder="1" applyAlignment="1">
      <alignment horizontal="center"/>
    </xf>
    <xf numFmtId="0" fontId="0" fillId="4" borderId="6" xfId="0" quotePrefix="1" applyFill="1" applyBorder="1" applyAlignment="1">
      <alignment horizontal="center"/>
    </xf>
    <xf numFmtId="0" fontId="0" fillId="4" borderId="0" xfId="0" applyFill="1" applyAlignment="1">
      <alignment horizontal="left" vertical="center"/>
    </xf>
    <xf numFmtId="2" fontId="0" fillId="4" borderId="0" xfId="0" applyNumberFormat="1" applyFill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5" fillId="4" borderId="0" xfId="0" applyFont="1" applyFill="1"/>
    <xf numFmtId="0" fontId="7" fillId="4" borderId="0" xfId="0" applyFont="1" applyFill="1"/>
    <xf numFmtId="0" fontId="0" fillId="4" borderId="7" xfId="0" applyFill="1" applyBorder="1" applyAlignment="1">
      <alignment horizontal="center" vertical="center"/>
    </xf>
    <xf numFmtId="0" fontId="0" fillId="4" borderId="7" xfId="0" quotePrefix="1" applyFill="1" applyBorder="1" applyAlignment="1">
      <alignment horizontal="center" vertical="center"/>
    </xf>
    <xf numFmtId="0" fontId="0" fillId="4" borderId="16" xfId="0" applyFill="1" applyBorder="1"/>
    <xf numFmtId="0" fontId="0" fillId="4" borderId="15" xfId="0" applyFill="1" applyBorder="1"/>
    <xf numFmtId="0" fontId="0" fillId="4" borderId="5" xfId="0" quotePrefix="1" applyFill="1" applyBorder="1" applyAlignment="1">
      <alignment horizontal="center"/>
    </xf>
    <xf numFmtId="0" fontId="0" fillId="4" borderId="13" xfId="0" applyFill="1" applyBorder="1"/>
    <xf numFmtId="0" fontId="0" fillId="4" borderId="3" xfId="0" applyFill="1" applyBorder="1"/>
    <xf numFmtId="0" fontId="0" fillId="4" borderId="11" xfId="0" applyFill="1" applyBorder="1"/>
    <xf numFmtId="0" fontId="0" fillId="4" borderId="11" xfId="0" quotePrefix="1" applyFill="1" applyBorder="1" applyAlignment="1">
      <alignment horizontal="center"/>
    </xf>
    <xf numFmtId="0" fontId="0" fillId="4" borderId="12" xfId="0" applyFill="1" applyBorder="1"/>
    <xf numFmtId="0" fontId="0" fillId="4" borderId="11" xfId="0" quotePrefix="1" applyFill="1" applyBorder="1" applyAlignment="1">
      <alignment horizontal="center" vertical="center"/>
    </xf>
    <xf numFmtId="0" fontId="3" fillId="4" borderId="10" xfId="0" applyFont="1" applyFill="1" applyBorder="1"/>
    <xf numFmtId="0" fontId="3" fillId="4" borderId="9" xfId="0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0" fillId="4" borderId="17" xfId="0" applyFill="1" applyBorder="1"/>
    <xf numFmtId="0" fontId="0" fillId="4" borderId="0" xfId="0" applyFill="1" applyAlignment="1">
      <alignment vertical="center"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horizontal="center" wrapText="1"/>
    </xf>
    <xf numFmtId="164" fontId="0" fillId="4" borderId="0" xfId="0" applyNumberFormat="1" applyFill="1" applyAlignment="1">
      <alignment horizontal="center" wrapText="1"/>
    </xf>
    <xf numFmtId="0" fontId="10" fillId="4" borderId="5" xfId="4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0" fillId="4" borderId="17" xfId="0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0" xfId="0" applyFill="1" applyAlignment="1">
      <alignment horizontal="center" wrapText="1"/>
    </xf>
    <xf numFmtId="0" fontId="0" fillId="4" borderId="11" xfId="0" applyFill="1" applyBorder="1" applyAlignment="1">
      <alignment horizontal="left" vertical="center"/>
    </xf>
    <xf numFmtId="2" fontId="0" fillId="4" borderId="11" xfId="0" applyNumberFormat="1" applyFill="1" applyBorder="1" applyAlignment="1">
      <alignment horizontal="center" vertical="center"/>
    </xf>
    <xf numFmtId="0" fontId="0" fillId="4" borderId="5" xfId="0" applyFill="1" applyBorder="1" applyAlignment="1">
      <alignment horizontal="right"/>
    </xf>
    <xf numFmtId="0" fontId="11" fillId="4" borderId="0" xfId="3" applyFont="1" applyFill="1"/>
    <xf numFmtId="0" fontId="11" fillId="4" borderId="0" xfId="3" applyFont="1" applyFill="1" applyAlignment="1"/>
  </cellXfs>
  <cellStyles count="5">
    <cellStyle name="Calculation" xfId="4" builtinId="22"/>
    <cellStyle name="Hyperlink" xfId="3" builtinId="8"/>
    <cellStyle name="Input" xfId="1" builtinId="20"/>
    <cellStyle name="Normal" xfId="0" builtinId="0"/>
    <cellStyle name="Output" xfId="2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2</xdr:row>
      <xdr:rowOff>123825</xdr:rowOff>
    </xdr:from>
    <xdr:to>
      <xdr:col>20</xdr:col>
      <xdr:colOff>161925</xdr:colOff>
      <xdr:row>13</xdr:row>
      <xdr:rowOff>9277</xdr:rowOff>
    </xdr:to>
    <xdr:pic>
      <xdr:nvPicPr>
        <xdr:cNvPr id="2" name="Picture 1" descr="Crash modification factor definition">
          <a:extLst>
            <a:ext uri="{FF2B5EF4-FFF2-40B4-BE49-F238E27FC236}">
              <a16:creationId xmlns:a16="http://schemas.microsoft.com/office/drawing/2014/main" id="{D248ACE7-270B-A61B-5AB5-6811BB7B03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8469" r="23780"/>
        <a:stretch/>
      </xdr:blipFill>
      <xdr:spPr>
        <a:xfrm>
          <a:off x="8420099" y="609600"/>
          <a:ext cx="5543551" cy="19809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304800</xdr:colOff>
      <xdr:row>0</xdr:row>
      <xdr:rowOff>57150</xdr:rowOff>
    </xdr:from>
    <xdr:to>
      <xdr:col>22</xdr:col>
      <xdr:colOff>509707</xdr:colOff>
      <xdr:row>18</xdr:row>
      <xdr:rowOff>180975</xdr:rowOff>
    </xdr:to>
    <xdr:pic>
      <xdr:nvPicPr>
        <xdr:cNvPr id="2" name="Picture 1" descr="Equation">
          <a:extLst>
            <a:ext uri="{FF2B5EF4-FFF2-40B4-BE49-F238E27FC236}">
              <a16:creationId xmlns:a16="http://schemas.microsoft.com/office/drawing/2014/main" id="{41F52FD9-3480-44B6-BAD0-8C4DF283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57150"/>
          <a:ext cx="6300907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11</xdr:row>
      <xdr:rowOff>142875</xdr:rowOff>
    </xdr:from>
    <xdr:to>
      <xdr:col>8</xdr:col>
      <xdr:colOff>611229</xdr:colOff>
      <xdr:row>34</xdr:row>
      <xdr:rowOff>152400</xdr:rowOff>
    </xdr:to>
    <xdr:pic>
      <xdr:nvPicPr>
        <xdr:cNvPr id="6" name="Picture 5" descr="Examples of roadside hazards">
          <a:extLst>
            <a:ext uri="{FF2B5EF4-FFF2-40B4-BE49-F238E27FC236}">
              <a16:creationId xmlns:a16="http://schemas.microsoft.com/office/drawing/2014/main" id="{CB5CAD1D-D488-457D-BF87-E6C38EC7E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0" y="2552700"/>
          <a:ext cx="5526129" cy="4171950"/>
        </a:xfrm>
        <a:prstGeom prst="rect">
          <a:avLst/>
        </a:prstGeom>
      </xdr:spPr>
    </xdr:pic>
    <xdr:clientData/>
  </xdr:twoCellAnchor>
  <xdr:twoCellAnchor editAs="oneCell">
    <xdr:from>
      <xdr:col>3</xdr:col>
      <xdr:colOff>525609</xdr:colOff>
      <xdr:row>37</xdr:row>
      <xdr:rowOff>12700</xdr:rowOff>
    </xdr:from>
    <xdr:to>
      <xdr:col>8</xdr:col>
      <xdr:colOff>315981</xdr:colOff>
      <xdr:row>60</xdr:row>
      <xdr:rowOff>50079</xdr:rowOff>
    </xdr:to>
    <xdr:pic>
      <xdr:nvPicPr>
        <xdr:cNvPr id="7" name="Picture 6" descr="More examples of roadside hazards">
          <a:extLst>
            <a:ext uri="{FF2B5EF4-FFF2-40B4-BE49-F238E27FC236}">
              <a16:creationId xmlns:a16="http://schemas.microsoft.com/office/drawing/2014/main" id="{C3719B1D-C1D4-4686-8738-BBE4FCFAB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97459" y="7245350"/>
          <a:ext cx="5429172" cy="42728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38099</xdr:colOff>
      <xdr:row>1</xdr:row>
      <xdr:rowOff>19050</xdr:rowOff>
    </xdr:from>
    <xdr:to>
      <xdr:col>18</xdr:col>
      <xdr:colOff>152400</xdr:colOff>
      <xdr:row>6</xdr:row>
      <xdr:rowOff>19050</xdr:rowOff>
    </xdr:to>
    <xdr:pic>
      <xdr:nvPicPr>
        <xdr:cNvPr id="3" name="Picture 2" descr="CMF calculation for a 2-lane road">
          <a:extLst>
            <a:ext uri="{FF2B5EF4-FFF2-40B4-BE49-F238E27FC236}">
              <a16:creationId xmlns:a16="http://schemas.microsoft.com/office/drawing/2014/main" id="{F26467FA-1508-4C8F-BB4E-92163D2060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0527" r="12627"/>
        <a:stretch/>
      </xdr:blipFill>
      <xdr:spPr>
        <a:xfrm>
          <a:off x="6838949" y="314325"/>
          <a:ext cx="4381501" cy="952500"/>
        </a:xfrm>
        <a:prstGeom prst="rect">
          <a:avLst/>
        </a:prstGeom>
      </xdr:spPr>
    </xdr:pic>
    <xdr:clientData/>
  </xdr:twoCellAnchor>
  <xdr:twoCellAnchor editAs="oneCell">
    <xdr:from>
      <xdr:col>18</xdr:col>
      <xdr:colOff>200025</xdr:colOff>
      <xdr:row>1</xdr:row>
      <xdr:rowOff>47625</xdr:rowOff>
    </xdr:from>
    <xdr:to>
      <xdr:col>24</xdr:col>
      <xdr:colOff>219075</xdr:colOff>
      <xdr:row>6</xdr:row>
      <xdr:rowOff>93234</xdr:rowOff>
    </xdr:to>
    <xdr:pic>
      <xdr:nvPicPr>
        <xdr:cNvPr id="4" name="Picture 3" descr="Definitions for the previous CMF calculation">
          <a:extLst>
            <a:ext uri="{FF2B5EF4-FFF2-40B4-BE49-F238E27FC236}">
              <a16:creationId xmlns:a16="http://schemas.microsoft.com/office/drawing/2014/main" id="{63C9ABE6-5E63-4DE3-ACC2-229139C71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68075" y="342900"/>
          <a:ext cx="3676650" cy="998109"/>
        </a:xfrm>
        <a:prstGeom prst="rect">
          <a:avLst/>
        </a:prstGeom>
      </xdr:spPr>
    </xdr:pic>
    <xdr:clientData/>
  </xdr:twoCellAnchor>
  <xdr:twoCellAnchor editAs="oneCell">
    <xdr:from>
      <xdr:col>11</xdr:col>
      <xdr:colOff>114300</xdr:colOff>
      <xdr:row>11</xdr:row>
      <xdr:rowOff>47625</xdr:rowOff>
    </xdr:from>
    <xdr:to>
      <xdr:col>16</xdr:col>
      <xdr:colOff>447252</xdr:colOff>
      <xdr:row>15</xdr:row>
      <xdr:rowOff>114196</xdr:rowOff>
    </xdr:to>
    <xdr:pic>
      <xdr:nvPicPr>
        <xdr:cNvPr id="5" name="Picture 4" descr="CMF equation for a 4-lane road">
          <a:extLst>
            <a:ext uri="{FF2B5EF4-FFF2-40B4-BE49-F238E27FC236}">
              <a16:creationId xmlns:a16="http://schemas.microsoft.com/office/drawing/2014/main" id="{C6DF2185-55D0-442B-9D87-574F06A2F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915150" y="2057400"/>
          <a:ext cx="3380952" cy="828571"/>
        </a:xfrm>
        <a:prstGeom prst="rect">
          <a:avLst/>
        </a:prstGeom>
      </xdr:spPr>
    </xdr:pic>
    <xdr:clientData/>
  </xdr:twoCellAnchor>
  <xdr:twoCellAnchor editAs="oneCell">
    <xdr:from>
      <xdr:col>9</xdr:col>
      <xdr:colOff>85725</xdr:colOff>
      <xdr:row>18</xdr:row>
      <xdr:rowOff>76200</xdr:rowOff>
    </xdr:from>
    <xdr:to>
      <xdr:col>14</xdr:col>
      <xdr:colOff>285750</xdr:colOff>
      <xdr:row>24</xdr:row>
      <xdr:rowOff>47625</xdr:rowOff>
    </xdr:to>
    <xdr:pic>
      <xdr:nvPicPr>
        <xdr:cNvPr id="6" name="Picture 5" descr="CMF equation for a 6-lane road">
          <a:extLst>
            <a:ext uri="{FF2B5EF4-FFF2-40B4-BE49-F238E27FC236}">
              <a16:creationId xmlns:a16="http://schemas.microsoft.com/office/drawing/2014/main" id="{05A6F53B-4C82-41F1-AF15-03F00E3A5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667375" y="3419475"/>
          <a:ext cx="3429000" cy="1114425"/>
        </a:xfrm>
        <a:prstGeom prst="rect">
          <a:avLst/>
        </a:prstGeom>
      </xdr:spPr>
    </xdr:pic>
    <xdr:clientData/>
  </xdr:twoCellAnchor>
  <xdr:twoCellAnchor editAs="oneCell">
    <xdr:from>
      <xdr:col>14</xdr:col>
      <xdr:colOff>542925</xdr:colOff>
      <xdr:row>17</xdr:row>
      <xdr:rowOff>180975</xdr:rowOff>
    </xdr:from>
    <xdr:to>
      <xdr:col>20</xdr:col>
      <xdr:colOff>466227</xdr:colOff>
      <xdr:row>24</xdr:row>
      <xdr:rowOff>141054</xdr:rowOff>
    </xdr:to>
    <xdr:pic>
      <xdr:nvPicPr>
        <xdr:cNvPr id="7" name="Picture 6" descr="Definitions for the 6-lane road equation">
          <a:extLst>
            <a:ext uri="{FF2B5EF4-FFF2-40B4-BE49-F238E27FC236}">
              <a16:creationId xmlns:a16="http://schemas.microsoft.com/office/drawing/2014/main" id="{55905793-1A02-4272-8C01-FD9436E3B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172575" y="3333750"/>
          <a:ext cx="3580902" cy="1293579"/>
        </a:xfrm>
        <a:prstGeom prst="rect">
          <a:avLst/>
        </a:prstGeom>
      </xdr:spPr>
    </xdr:pic>
    <xdr:clientData/>
  </xdr:twoCellAnchor>
  <xdr:twoCellAnchor editAs="oneCell">
    <xdr:from>
      <xdr:col>20</xdr:col>
      <xdr:colOff>504825</xdr:colOff>
      <xdr:row>18</xdr:row>
      <xdr:rowOff>19050</xdr:rowOff>
    </xdr:from>
    <xdr:to>
      <xdr:col>27</xdr:col>
      <xdr:colOff>609054</xdr:colOff>
      <xdr:row>23</xdr:row>
      <xdr:rowOff>142740</xdr:rowOff>
    </xdr:to>
    <xdr:pic>
      <xdr:nvPicPr>
        <xdr:cNvPr id="8" name="Picture 7" descr="Table of coefficients for minor driveways">
          <a:extLst>
            <a:ext uri="{FF2B5EF4-FFF2-40B4-BE49-F238E27FC236}">
              <a16:creationId xmlns:a16="http://schemas.microsoft.com/office/drawing/2014/main" id="{B4F2C88A-CFD7-4EE0-A112-8F4A29C6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792075" y="3362325"/>
          <a:ext cx="4371429" cy="10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mfclearinghouse.org/detail.cfm?facid=10070" TargetMode="External"/><Relationship Id="rId2" Type="http://schemas.openxmlformats.org/officeDocument/2006/relationships/hyperlink" Target="http://www.cmfclearinghouse.org/detail.cfm?facid=10068" TargetMode="External"/><Relationship Id="rId1" Type="http://schemas.openxmlformats.org/officeDocument/2006/relationships/hyperlink" Target="http://www.cmfclearinghouse.org/detail.cfm?facid=10065" TargetMode="External"/><Relationship Id="rId4" Type="http://schemas.openxmlformats.org/officeDocument/2006/relationships/hyperlink" Target="http://www.cmfclearinghouse.org/detail.cfm?facid=10072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cmfclearinghouse.org/detail.php?facid=224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cmfclearinghouse.org/detail.php?facid=5216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www.cmfclearinghouse.org/detail.cfm?facid=869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safety.fhwa.dot.gov/tools/data_tools/mirereport/67.cf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highways.dot.gov/sites/fhwa.dot.gov/files/FHWA-HRT-23-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94359-2F1A-42D3-A12F-B681E70D868C}">
  <sheetPr codeName="Sheet1"/>
  <dimension ref="A1:O24"/>
  <sheetViews>
    <sheetView workbookViewId="0">
      <selection activeCell="B7" sqref="B7"/>
    </sheetView>
  </sheetViews>
  <sheetFormatPr defaultRowHeight="15" x14ac:dyDescent="0.25"/>
  <cols>
    <col min="1" max="1" width="27.28515625" bestFit="1" customWidth="1"/>
    <col min="8" max="8" width="11.140625" bestFit="1" customWidth="1"/>
    <col min="13" max="13" width="35" bestFit="1" customWidth="1"/>
    <col min="14" max="14" width="17.7109375" customWidth="1"/>
  </cols>
  <sheetData>
    <row r="1" spans="1:15" ht="23.25" x14ac:dyDescent="0.35">
      <c r="A1" s="108" t="s">
        <v>39</v>
      </c>
      <c r="B1" s="108"/>
      <c r="C1" s="108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5" x14ac:dyDescent="0.25">
      <c r="A2" s="1" t="s">
        <v>9</v>
      </c>
      <c r="B2" s="2"/>
      <c r="E2" s="4"/>
      <c r="F2" s="4"/>
      <c r="G2" s="4"/>
      <c r="H2" s="4"/>
      <c r="I2" s="5" t="s">
        <v>1</v>
      </c>
      <c r="J2" s="5" t="s">
        <v>2</v>
      </c>
      <c r="K2" s="5" t="s">
        <v>3</v>
      </c>
      <c r="L2" s="5" t="s">
        <v>4</v>
      </c>
      <c r="M2" s="5" t="s">
        <v>5</v>
      </c>
      <c r="N2" s="5" t="s">
        <v>118</v>
      </c>
    </row>
    <row r="3" spans="1:15" x14ac:dyDescent="0.25">
      <c r="A3" s="1" t="s">
        <v>10</v>
      </c>
      <c r="B3" s="2"/>
      <c r="E3" s="4"/>
      <c r="F3" s="4"/>
      <c r="G3" s="4"/>
      <c r="H3" s="6" t="s">
        <v>0</v>
      </c>
      <c r="I3" s="4">
        <v>1.1299999999999999E-2</v>
      </c>
      <c r="J3" s="4">
        <v>1.0348999999999999</v>
      </c>
      <c r="K3" s="4">
        <v>1.3899999999999999E-2</v>
      </c>
      <c r="L3" s="4">
        <v>1.6012999999999999</v>
      </c>
      <c r="M3" s="4">
        <v>1</v>
      </c>
      <c r="N3" s="4">
        <v>57</v>
      </c>
      <c r="O3" s="8" t="s">
        <v>25</v>
      </c>
    </row>
    <row r="4" spans="1:15" x14ac:dyDescent="0.25">
      <c r="A4" s="1" t="s">
        <v>7</v>
      </c>
      <c r="B4" s="2"/>
      <c r="C4" t="s">
        <v>8</v>
      </c>
      <c r="E4" s="4"/>
      <c r="F4" s="4"/>
      <c r="G4" s="4"/>
      <c r="H4" s="6" t="s">
        <v>15</v>
      </c>
      <c r="I4" s="4">
        <v>2.98E-2</v>
      </c>
      <c r="J4" s="4">
        <v>2.7021999999999999</v>
      </c>
      <c r="K4" s="4">
        <v>4.3200000000000002E-2</v>
      </c>
      <c r="L4" s="4">
        <v>4.0305499999999999</v>
      </c>
      <c r="M4" s="4">
        <v>1</v>
      </c>
      <c r="N4" s="4">
        <v>64</v>
      </c>
      <c r="O4" s="8" t="s">
        <v>24</v>
      </c>
    </row>
    <row r="5" spans="1:15" x14ac:dyDescent="0.25">
      <c r="A5" s="1" t="s">
        <v>6</v>
      </c>
      <c r="B5" s="2"/>
      <c r="C5" t="s">
        <v>8</v>
      </c>
      <c r="E5" s="4"/>
      <c r="F5" s="4"/>
      <c r="G5" s="4"/>
      <c r="H5" s="6" t="s">
        <v>16</v>
      </c>
      <c r="I5" s="4">
        <v>5.8999999999999999E-3</v>
      </c>
      <c r="J5" s="4">
        <v>1.0339</v>
      </c>
      <c r="K5" s="4">
        <v>0</v>
      </c>
      <c r="L5" s="4">
        <v>0</v>
      </c>
      <c r="M5" s="4">
        <v>0</v>
      </c>
      <c r="N5" s="4">
        <v>36</v>
      </c>
      <c r="O5" s="8" t="s">
        <v>26</v>
      </c>
    </row>
    <row r="6" spans="1:15" x14ac:dyDescent="0.25">
      <c r="E6" s="4"/>
      <c r="F6" s="4"/>
      <c r="G6" s="4"/>
      <c r="H6" s="6" t="s">
        <v>17</v>
      </c>
      <c r="I6" s="4">
        <v>1.3299999999999999E-2</v>
      </c>
      <c r="J6" s="4">
        <v>1.3249</v>
      </c>
      <c r="K6" s="4">
        <v>0</v>
      </c>
      <c r="L6" s="4">
        <v>0</v>
      </c>
      <c r="M6" s="4">
        <v>0</v>
      </c>
      <c r="N6" s="4">
        <v>60</v>
      </c>
      <c r="O6" s="8" t="s">
        <v>27</v>
      </c>
    </row>
    <row r="7" spans="1:15" x14ac:dyDescent="0.25">
      <c r="A7" s="1" t="s">
        <v>20</v>
      </c>
      <c r="B7" s="3" t="e">
        <f>(EXP(I17*(I23-90))*(1+COS(L23))^J17+M17*(EXP(K17*(I23-90))*(1+COS(L23))^L17))/(EXP(I17*(I22-90))*(1+COS(L22))^J17+M17*(EXP(K17*(I22-90))*(1+COS(L22))^L17))</f>
        <v>#N/A</v>
      </c>
      <c r="E7" s="4"/>
      <c r="F7" s="4"/>
      <c r="G7" s="4"/>
      <c r="H7" s="4"/>
      <c r="I7" s="4"/>
      <c r="J7" s="4"/>
      <c r="K7" s="4"/>
      <c r="L7" s="4"/>
      <c r="M7" s="4"/>
      <c r="N7" s="4"/>
    </row>
    <row r="8" spans="1:15" x14ac:dyDescent="0.25">
      <c r="E8" s="4"/>
      <c r="F8" s="4"/>
      <c r="G8" s="4"/>
      <c r="H8" s="6" t="s">
        <v>11</v>
      </c>
      <c r="I8" s="5" t="s">
        <v>12</v>
      </c>
      <c r="J8" s="4"/>
      <c r="K8" s="4"/>
      <c r="L8" s="4"/>
      <c r="M8" s="4"/>
      <c r="N8" s="4"/>
    </row>
    <row r="9" spans="1:15" x14ac:dyDescent="0.25">
      <c r="E9" s="4"/>
      <c r="F9" s="4"/>
      <c r="G9" s="4"/>
      <c r="H9" s="7" t="s">
        <v>13</v>
      </c>
      <c r="I9" s="4" t="s">
        <v>18</v>
      </c>
      <c r="J9" s="4"/>
      <c r="K9" s="4"/>
      <c r="L9" s="4"/>
      <c r="M9" s="4"/>
      <c r="N9" s="4"/>
    </row>
    <row r="10" spans="1:15" x14ac:dyDescent="0.25">
      <c r="E10" s="4"/>
      <c r="F10" s="4"/>
      <c r="G10" s="4"/>
      <c r="H10" s="7" t="s">
        <v>14</v>
      </c>
      <c r="I10" s="4" t="s">
        <v>19</v>
      </c>
      <c r="J10" s="4"/>
      <c r="K10" s="4"/>
      <c r="L10" s="4"/>
      <c r="M10" s="4"/>
      <c r="N10" s="4"/>
    </row>
    <row r="11" spans="1:15" x14ac:dyDescent="0.25"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5" x14ac:dyDescent="0.25">
      <c r="E12" s="4"/>
      <c r="F12" s="4"/>
      <c r="G12" s="4" t="s">
        <v>22</v>
      </c>
      <c r="H12" s="4" t="str">
        <f>CONCATENATE(B2," ",B3)</f>
        <v xml:space="preserve"> </v>
      </c>
      <c r="I12" s="4"/>
      <c r="J12" s="4"/>
      <c r="K12" s="4"/>
      <c r="L12" s="4"/>
      <c r="M12" s="4"/>
      <c r="N12" s="4"/>
    </row>
    <row r="13" spans="1:15" x14ac:dyDescent="0.25"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5" x14ac:dyDescent="0.25"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5" x14ac:dyDescent="0.25"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5" x14ac:dyDescent="0.25">
      <c r="E16" s="4"/>
      <c r="F16" s="4"/>
      <c r="G16" s="4"/>
      <c r="H16" s="7"/>
      <c r="I16" s="5" t="s">
        <v>1</v>
      </c>
      <c r="J16" s="5" t="s">
        <v>2</v>
      </c>
      <c r="K16" s="5" t="s">
        <v>3</v>
      </c>
      <c r="L16" s="5" t="s">
        <v>4</v>
      </c>
      <c r="M16" s="5" t="s">
        <v>5</v>
      </c>
      <c r="N16" s="5" t="s">
        <v>119</v>
      </c>
    </row>
    <row r="17" spans="5:14" x14ac:dyDescent="0.25">
      <c r="E17" s="4"/>
      <c r="F17" s="4"/>
      <c r="G17" s="4"/>
      <c r="H17" s="7" t="s">
        <v>21</v>
      </c>
      <c r="I17" s="4" t="e">
        <f>VLOOKUP($H12,$H$3:$N$6,2,FALSE)</f>
        <v>#N/A</v>
      </c>
      <c r="J17" s="4" t="e">
        <f>VLOOKUP($H12,$H$3:$N$6,3,FALSE)</f>
        <v>#N/A</v>
      </c>
      <c r="K17" s="4" t="e">
        <f>VLOOKUP($H12,$H$3:$N$6,4,FALSE)</f>
        <v>#N/A</v>
      </c>
      <c r="L17" s="4" t="e">
        <f>VLOOKUP($H12,$H$3:$N$6,5,FALSE)</f>
        <v>#N/A</v>
      </c>
      <c r="M17" s="4" t="e">
        <f>VLOOKUP($H12,$H$3:$N$6,6,FALSE)</f>
        <v>#N/A</v>
      </c>
      <c r="N17" s="4" t="e">
        <f>VLOOKUP($H12,$H$3:$N$6,7,FALSE)</f>
        <v>#N/A</v>
      </c>
    </row>
    <row r="18" spans="5:14" x14ac:dyDescent="0.25"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5:14" x14ac:dyDescent="0.25">
      <c r="E19" s="4"/>
      <c r="F19" s="4"/>
      <c r="G19" s="4"/>
      <c r="H19" s="7" t="s">
        <v>7</v>
      </c>
      <c r="I19" s="4">
        <f>B4</f>
        <v>0</v>
      </c>
      <c r="J19" s="4" t="s">
        <v>8</v>
      </c>
      <c r="K19" s="15" t="s">
        <v>120</v>
      </c>
      <c r="L19" s="4">
        <f>RADIANS(B4)</f>
        <v>0</v>
      </c>
      <c r="M19" s="4" t="s">
        <v>23</v>
      </c>
      <c r="N19" s="4"/>
    </row>
    <row r="20" spans="5:14" x14ac:dyDescent="0.25">
      <c r="E20" s="4"/>
      <c r="F20" s="4"/>
      <c r="G20" s="4"/>
      <c r="H20" s="7" t="s">
        <v>6</v>
      </c>
      <c r="I20" s="4">
        <f>B5</f>
        <v>0</v>
      </c>
      <c r="J20" s="4" t="s">
        <v>8</v>
      </c>
      <c r="K20" s="15" t="s">
        <v>120</v>
      </c>
      <c r="L20" s="4">
        <f>RADIANS(B5)</f>
        <v>0</v>
      </c>
      <c r="M20" s="4" t="s">
        <v>23</v>
      </c>
      <c r="N20" s="4"/>
    </row>
    <row r="21" spans="5:14" x14ac:dyDescent="0.25">
      <c r="E21" s="4"/>
      <c r="F21" s="4"/>
      <c r="G21" s="4"/>
      <c r="H21" s="4"/>
      <c r="I21" s="4"/>
      <c r="J21" s="4"/>
      <c r="K21" s="15"/>
      <c r="L21" s="4"/>
      <c r="M21" s="4"/>
      <c r="N21" s="4"/>
    </row>
    <row r="22" spans="5:14" x14ac:dyDescent="0.25">
      <c r="E22" s="4"/>
      <c r="F22" s="4"/>
      <c r="G22" s="4"/>
      <c r="H22" s="7" t="s">
        <v>121</v>
      </c>
      <c r="I22" s="4" t="e">
        <f>IF(B4&lt;N17,N17,B4)</f>
        <v>#N/A</v>
      </c>
      <c r="J22" s="4" t="s">
        <v>8</v>
      </c>
      <c r="K22" s="15" t="s">
        <v>120</v>
      </c>
      <c r="L22" s="4" t="e">
        <f>IF(B4&lt;N17,RADIANS(N17),RADIANS(B4))</f>
        <v>#N/A</v>
      </c>
      <c r="M22" s="4" t="s">
        <v>23</v>
      </c>
      <c r="N22" s="4"/>
    </row>
    <row r="23" spans="5:14" x14ac:dyDescent="0.25">
      <c r="E23" s="4"/>
      <c r="F23" s="4"/>
      <c r="G23" s="4"/>
      <c r="H23" s="7" t="s">
        <v>122</v>
      </c>
      <c r="I23" s="4" t="e">
        <f>IF(B5&lt;N17,N17,B5)</f>
        <v>#N/A</v>
      </c>
      <c r="J23" s="4" t="s">
        <v>8</v>
      </c>
      <c r="K23" s="15" t="s">
        <v>120</v>
      </c>
      <c r="L23" s="4" t="e">
        <f>IF(B5&lt;N17,RADIANS(N17),RADIANS(B5))</f>
        <v>#N/A</v>
      </c>
      <c r="M23" s="4" t="s">
        <v>23</v>
      </c>
      <c r="N23" s="4"/>
    </row>
    <row r="24" spans="5:14" x14ac:dyDescent="0.25">
      <c r="E24" s="4"/>
      <c r="F24" s="4"/>
      <c r="G24" s="4"/>
      <c r="H24" s="4"/>
      <c r="I24" s="4"/>
      <c r="J24" s="4"/>
      <c r="K24" s="4"/>
      <c r="L24" s="4"/>
      <c r="M24" s="4"/>
      <c r="N24" s="4"/>
    </row>
  </sheetData>
  <mergeCells count="1">
    <mergeCell ref="A1:C1"/>
  </mergeCells>
  <dataValidations count="3">
    <dataValidation type="list" allowBlank="1" showInputMessage="1" showErrorMessage="1" sqref="B2" xr:uid="{E508AEAC-CF72-48E2-A538-A0C30C176FA6}">
      <formula1>Area</formula1>
    </dataValidation>
    <dataValidation type="list" allowBlank="1" showInputMessage="1" showErrorMessage="1" sqref="B3" xr:uid="{5C33DD24-0723-4525-AD28-DC0E95D9EDA9}">
      <formula1>Legs</formula1>
    </dataValidation>
    <dataValidation type="whole" operator="greaterThan" allowBlank="1" showInputMessage="1" showErrorMessage="1" sqref="B4:B5" xr:uid="{9A0907FB-44C6-4699-973C-9BF7DF3C6F87}">
      <formula1>0</formula1>
    </dataValidation>
  </dataValidations>
  <hyperlinks>
    <hyperlink ref="O4" r:id="rId1" xr:uid="{5461B770-1C1D-4241-A895-23FBD0BFF037}"/>
    <hyperlink ref="O3" r:id="rId2" xr:uid="{625EFB35-24D9-4F48-B4F0-AC5FF50F2C05}"/>
    <hyperlink ref="O5" r:id="rId3" xr:uid="{E48A0402-6EC7-4D13-9CB1-FEB83EF87C80}"/>
    <hyperlink ref="O6" r:id="rId4" xr:uid="{C4F415C3-55B2-4C46-978A-C8E9906ACD3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AE105-2B8D-4C95-8F4E-E51B80AB05B6}">
  <dimension ref="A1:AC32"/>
  <sheetViews>
    <sheetView tabSelected="1" topLeftCell="J1" zoomScaleNormal="100" workbookViewId="0">
      <selection activeCell="J11" sqref="J11"/>
    </sheetView>
  </sheetViews>
  <sheetFormatPr defaultRowHeight="15" x14ac:dyDescent="0.25"/>
  <cols>
    <col min="1" max="1" width="40.42578125" customWidth="1"/>
    <col min="2" max="2" width="11.28515625" customWidth="1"/>
    <col min="3" max="3" width="17.28515625" customWidth="1"/>
    <col min="4" max="7" width="15.140625" customWidth="1"/>
    <col min="8" max="9" width="16.85546875" customWidth="1"/>
    <col min="10" max="10" width="11.85546875" customWidth="1"/>
  </cols>
  <sheetData>
    <row r="1" spans="1:29" ht="23.25" x14ac:dyDescent="0.35">
      <c r="A1" s="108" t="s">
        <v>39</v>
      </c>
      <c r="B1" s="108"/>
      <c r="C1" s="108"/>
      <c r="D1" s="23"/>
      <c r="E1" s="23"/>
      <c r="F1" s="23"/>
      <c r="G1" s="23"/>
      <c r="I1" s="4"/>
      <c r="J1" s="5" t="s">
        <v>189</v>
      </c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 t="s">
        <v>195</v>
      </c>
      <c r="AC1" s="4"/>
    </row>
    <row r="2" spans="1:29" x14ac:dyDescent="0.25">
      <c r="A2" s="1" t="s">
        <v>190</v>
      </c>
      <c r="B2" s="2"/>
      <c r="I2" s="4"/>
      <c r="J2" s="4" t="s">
        <v>185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>
        <v>2</v>
      </c>
      <c r="AC2" s="4"/>
    </row>
    <row r="3" spans="1:29" x14ac:dyDescent="0.25">
      <c r="A3" s="1" t="s">
        <v>35</v>
      </c>
      <c r="B3" s="2"/>
      <c r="C3" t="s">
        <v>196</v>
      </c>
      <c r="D3" s="24" t="s">
        <v>197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>
        <v>4</v>
      </c>
      <c r="AC3" s="4"/>
    </row>
    <row r="4" spans="1:29" x14ac:dyDescent="0.25">
      <c r="A4" s="1" t="s">
        <v>176</v>
      </c>
      <c r="B4" s="2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>
        <v>6</v>
      </c>
      <c r="AC4" s="4"/>
    </row>
    <row r="5" spans="1:29" x14ac:dyDescent="0.25">
      <c r="A5" s="1" t="s">
        <v>178</v>
      </c>
      <c r="B5" s="2"/>
      <c r="D5" s="2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x14ac:dyDescent="0.25">
      <c r="A6" s="1" t="s">
        <v>177</v>
      </c>
      <c r="B6" s="2">
        <v>1000</v>
      </c>
      <c r="C6" t="s">
        <v>40</v>
      </c>
      <c r="D6" s="24" t="s">
        <v>198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x14ac:dyDescent="0.25"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29" x14ac:dyDescent="0.25">
      <c r="A8" s="1" t="s">
        <v>30</v>
      </c>
      <c r="B8" s="26">
        <f>ROUND(IF(B4-B5&lt;2,1,IF(B2=2,((0.322+N29*(0.05-0.005*LN(B3)))/(0.322+5*(0.05-0.005*LN(B3))))/((0.322+N28*(0.05-0.005*LN(B3)))/(0.322+5*(0.05-0.005*LN(B3)))),IF(B2=4,((EXP(0.0481*(N29-N28))-1)*0.08+1),IF(B2=6,(EXP(0.0054*((B5/((B6/5280))-10))))/EXP(0.0054*((B4/((B6/5280))-10))), "-")))),3)</f>
        <v>1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x14ac:dyDescent="0.25"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x14ac:dyDescent="0.25">
      <c r="I10" s="4"/>
      <c r="J10" s="4" t="s">
        <v>187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x14ac:dyDescent="0.25">
      <c r="I11" s="4"/>
      <c r="J11" s="129" t="s">
        <v>186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x14ac:dyDescent="0.25"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x14ac:dyDescent="0.25"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x14ac:dyDescent="0.25"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x14ac:dyDescent="0.25"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x14ac:dyDescent="0.25"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9:29" x14ac:dyDescent="0.25"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9:29" x14ac:dyDescent="0.25">
      <c r="I18" s="4"/>
      <c r="J18" s="4" t="s">
        <v>188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9:29" x14ac:dyDescent="0.25"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9:29" x14ac:dyDescent="0.25"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9:29" x14ac:dyDescent="0.25"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9:29" x14ac:dyDescent="0.25"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9:29" x14ac:dyDescent="0.25"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9:29" x14ac:dyDescent="0.25"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9:29" x14ac:dyDescent="0.25"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9:29" x14ac:dyDescent="0.25"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9:29" x14ac:dyDescent="0.25"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9:29" x14ac:dyDescent="0.25">
      <c r="I28" s="4"/>
      <c r="J28" s="128" t="s">
        <v>194</v>
      </c>
      <c r="K28" s="128"/>
      <c r="L28" s="128"/>
      <c r="M28" s="128"/>
      <c r="N28" s="107">
        <f>IFERROR((B4*5280)/B6," ")</f>
        <v>0</v>
      </c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9:29" x14ac:dyDescent="0.25">
      <c r="I29" s="4"/>
      <c r="J29" s="128" t="s">
        <v>199</v>
      </c>
      <c r="K29" s="128"/>
      <c r="L29" s="128"/>
      <c r="M29" s="128"/>
      <c r="N29" s="107">
        <f>IFERROR(B5*5280/B6, " ")</f>
        <v>0</v>
      </c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9:29" x14ac:dyDescent="0.25"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9:29" x14ac:dyDescent="0.25"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9:29" x14ac:dyDescent="0.25"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</sheetData>
  <mergeCells count="3">
    <mergeCell ref="A1:C1"/>
    <mergeCell ref="J28:M28"/>
    <mergeCell ref="J29:M29"/>
  </mergeCells>
  <dataValidations count="2">
    <dataValidation type="whole" operator="greaterThanOrEqual" allowBlank="1" showInputMessage="1" showErrorMessage="1" sqref="B6" xr:uid="{E69C0F3A-2043-492B-8FBE-4A2B569ABB7C}">
      <formula1>1000</formula1>
    </dataValidation>
    <dataValidation type="list" allowBlank="1" showInputMessage="1" showErrorMessage="1" sqref="B2" xr:uid="{189EB63F-FFBE-44C3-B265-31DCA610F206}">
      <formula1>$AB$2:$AB$4</formula1>
    </dataValidation>
  </dataValidations>
  <hyperlinks>
    <hyperlink ref="J11" r:id="rId1" xr:uid="{392C0580-39B6-491D-8346-BA1380C84683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6518A-9949-4A10-9B36-38D52C90789E}">
  <sheetPr codeName="Sheet2"/>
  <dimension ref="A1:M5"/>
  <sheetViews>
    <sheetView topLeftCell="G1" workbookViewId="0">
      <selection activeCell="B5" sqref="B5"/>
    </sheetView>
  </sheetViews>
  <sheetFormatPr defaultRowHeight="15" x14ac:dyDescent="0.25"/>
  <cols>
    <col min="1" max="1" width="33.28515625" bestFit="1" customWidth="1"/>
  </cols>
  <sheetData>
    <row r="1" spans="1:13" ht="23.25" x14ac:dyDescent="0.35">
      <c r="A1" s="108" t="s">
        <v>39</v>
      </c>
      <c r="B1" s="108"/>
      <c r="C1" s="108"/>
    </row>
    <row r="2" spans="1:13" x14ac:dyDescent="0.25">
      <c r="A2" s="1" t="s">
        <v>29</v>
      </c>
      <c r="B2" s="2"/>
      <c r="C2" t="s">
        <v>40</v>
      </c>
      <c r="L2" t="s">
        <v>181</v>
      </c>
      <c r="M2" s="8" t="s">
        <v>182</v>
      </c>
    </row>
    <row r="3" spans="1:13" x14ac:dyDescent="0.25">
      <c r="A3" s="1" t="s">
        <v>28</v>
      </c>
      <c r="B3" s="2"/>
      <c r="C3" t="s">
        <v>40</v>
      </c>
    </row>
    <row r="5" spans="1:13" x14ac:dyDescent="0.25">
      <c r="A5" s="1" t="s">
        <v>30</v>
      </c>
      <c r="B5" s="3">
        <f>EXP(-4.55*(B3/5280-B2/5280))</f>
        <v>1</v>
      </c>
    </row>
  </sheetData>
  <mergeCells count="1">
    <mergeCell ref="A1:C1"/>
  </mergeCells>
  <hyperlinks>
    <hyperlink ref="M2" r:id="rId1" xr:uid="{00AC6DDE-6465-4939-95F6-B9BFCC82D75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11799-4CC8-48CF-BF41-0B39095BB374}">
  <sheetPr codeName="Sheet3"/>
  <dimension ref="A1:P37"/>
  <sheetViews>
    <sheetView zoomScale="90" zoomScaleNormal="90" workbookViewId="0">
      <selection activeCell="C17" sqref="C17"/>
    </sheetView>
  </sheetViews>
  <sheetFormatPr defaultRowHeight="15" x14ac:dyDescent="0.25"/>
  <cols>
    <col min="1" max="1" width="31.7109375" style="1" bestFit="1" customWidth="1"/>
    <col min="3" max="3" width="12.7109375" bestFit="1" customWidth="1"/>
    <col min="10" max="10" width="11.140625" bestFit="1" customWidth="1"/>
    <col min="11" max="11" width="10.7109375" bestFit="1" customWidth="1"/>
    <col min="12" max="12" width="18.85546875" bestFit="1" customWidth="1"/>
  </cols>
  <sheetData>
    <row r="1" spans="1:16" ht="23.25" x14ac:dyDescent="0.35">
      <c r="A1" s="108" t="s">
        <v>39</v>
      </c>
      <c r="B1" s="108"/>
      <c r="C1" s="108"/>
      <c r="G1" s="4"/>
      <c r="H1" s="4"/>
      <c r="I1" s="4"/>
      <c r="J1" s="4"/>
      <c r="K1" s="4"/>
      <c r="L1" s="4" t="s">
        <v>31</v>
      </c>
      <c r="M1" s="4"/>
      <c r="N1" s="4"/>
      <c r="O1" s="4"/>
      <c r="P1" s="4"/>
    </row>
    <row r="2" spans="1:16" x14ac:dyDescent="0.25">
      <c r="A2" s="1" t="s">
        <v>35</v>
      </c>
      <c r="B2" s="9"/>
      <c r="C2" t="s">
        <v>196</v>
      </c>
      <c r="G2" s="4"/>
      <c r="H2" s="4"/>
      <c r="I2" s="4"/>
      <c r="J2" s="5" t="s">
        <v>32</v>
      </c>
      <c r="K2" s="5" t="s">
        <v>33</v>
      </c>
      <c r="L2" s="5" t="s">
        <v>36</v>
      </c>
      <c r="M2" s="5" t="s">
        <v>34</v>
      </c>
      <c r="N2" s="4"/>
      <c r="O2" s="4"/>
      <c r="P2" s="4"/>
    </row>
    <row r="3" spans="1:16" x14ac:dyDescent="0.25">
      <c r="A3" s="1" t="s">
        <v>41</v>
      </c>
      <c r="B3" s="10"/>
      <c r="C3" t="s">
        <v>40</v>
      </c>
      <c r="G3" s="4"/>
      <c r="H3" s="4"/>
      <c r="I3" s="4"/>
      <c r="J3" s="4" t="s">
        <v>45</v>
      </c>
      <c r="K3" s="4">
        <v>1.05</v>
      </c>
      <c r="L3" s="4">
        <f>K3+2.81*10^-4*($B$2-400)</f>
        <v>0.93759999999999999</v>
      </c>
      <c r="M3" s="4">
        <v>1.5</v>
      </c>
      <c r="N3" s="4"/>
      <c r="O3" s="4"/>
      <c r="P3" s="4"/>
    </row>
    <row r="4" spans="1:16" x14ac:dyDescent="0.25">
      <c r="A4" s="1" t="s">
        <v>42</v>
      </c>
      <c r="B4" s="10"/>
      <c r="C4" t="s">
        <v>40</v>
      </c>
      <c r="G4" s="4"/>
      <c r="H4" s="4"/>
      <c r="I4" s="4"/>
      <c r="J4" s="4" t="s">
        <v>46</v>
      </c>
      <c r="K4" s="4">
        <f>AVERAGE(K3,K5)</f>
        <v>1.0350000000000001</v>
      </c>
      <c r="L4" s="4">
        <f>AVERAGE(L3,L5)</f>
        <v>0.94379999999999997</v>
      </c>
      <c r="M4" s="4">
        <f>AVERAGE(M3,M5)</f>
        <v>1.4</v>
      </c>
      <c r="N4" s="4"/>
      <c r="O4" s="4"/>
      <c r="P4" s="4"/>
    </row>
    <row r="5" spans="1:16" x14ac:dyDescent="0.25">
      <c r="G5" s="4"/>
      <c r="H5" s="4"/>
      <c r="I5" s="4"/>
      <c r="J5" s="4" t="s">
        <v>47</v>
      </c>
      <c r="K5" s="4">
        <v>1.02</v>
      </c>
      <c r="L5" s="4">
        <f>K5+1.75*10^-4*($B$2-400)</f>
        <v>0.95000000000000007</v>
      </c>
      <c r="M5" s="4">
        <v>1.3</v>
      </c>
      <c r="N5" s="4"/>
      <c r="O5" s="4"/>
      <c r="P5" s="4"/>
    </row>
    <row r="6" spans="1:16" x14ac:dyDescent="0.25">
      <c r="A6" s="1" t="s">
        <v>30</v>
      </c>
      <c r="B6" s="11" t="e">
        <f>MROUND(K16,0.01)</f>
        <v>#N/A</v>
      </c>
      <c r="G6" s="4"/>
      <c r="H6" s="4"/>
      <c r="I6" s="4"/>
      <c r="J6" s="4" t="s">
        <v>48</v>
      </c>
      <c r="K6" s="4">
        <f>AVERAGE(K5,K7)</f>
        <v>1.0150000000000001</v>
      </c>
      <c r="L6" s="4">
        <f>AVERAGE(L5,L7)</f>
        <v>0.93</v>
      </c>
      <c r="M6" s="4">
        <f>AVERAGE(M5,M7)</f>
        <v>1.175</v>
      </c>
      <c r="N6" s="4"/>
      <c r="O6" s="4"/>
      <c r="P6" s="4"/>
    </row>
    <row r="7" spans="1:16" x14ac:dyDescent="0.25">
      <c r="G7" s="4"/>
      <c r="H7" s="4"/>
      <c r="I7" s="4"/>
      <c r="J7" s="4" t="s">
        <v>49</v>
      </c>
      <c r="K7" s="4">
        <v>1.01</v>
      </c>
      <c r="L7" s="4">
        <f>K7+2.5*10^-4*($B$2-400)</f>
        <v>0.91</v>
      </c>
      <c r="M7" s="4">
        <v>1.05</v>
      </c>
      <c r="N7" s="4"/>
      <c r="O7" s="4"/>
      <c r="P7" s="4"/>
    </row>
    <row r="8" spans="1:16" x14ac:dyDescent="0.25">
      <c r="G8" s="4"/>
      <c r="H8" s="4"/>
      <c r="I8" s="4"/>
      <c r="J8" s="4" t="s">
        <v>50</v>
      </c>
      <c r="K8" s="4">
        <f>AVERAGE(K7,K9)</f>
        <v>1.0049999999999999</v>
      </c>
      <c r="L8" s="4">
        <f>AVERAGE(L7,L9)</f>
        <v>0.95500000000000007</v>
      </c>
      <c r="M8" s="4">
        <f>AVERAGE(M7,M9)</f>
        <v>1.0249999999999999</v>
      </c>
      <c r="N8" s="4"/>
      <c r="O8" s="4"/>
      <c r="P8" s="4"/>
    </row>
    <row r="9" spans="1:16" x14ac:dyDescent="0.25">
      <c r="G9" s="4"/>
      <c r="H9" s="4"/>
      <c r="I9" s="4"/>
      <c r="J9" s="4" t="s">
        <v>51</v>
      </c>
      <c r="K9" s="4">
        <v>1</v>
      </c>
      <c r="L9" s="4">
        <v>1</v>
      </c>
      <c r="M9" s="4">
        <v>1</v>
      </c>
      <c r="N9" s="4"/>
      <c r="O9" s="4"/>
      <c r="P9" s="4"/>
    </row>
    <row r="10" spans="1:16" x14ac:dyDescent="0.25"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x14ac:dyDescent="0.25"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x14ac:dyDescent="0.25">
      <c r="G12" s="4"/>
      <c r="H12" s="4"/>
      <c r="I12" s="4"/>
      <c r="J12" s="6" t="s">
        <v>44</v>
      </c>
      <c r="K12" s="4" t="e">
        <f>IF($B$2&lt;400,VLOOKUP(B3,$J$3:$M$9,2,FALSE),IF($B$2&gt;2000,VLOOKUP(B3,$J$3:$M$9,4,FALSE),VLOOKUP(B3,$J$3:$M$9,3,FALSE)))</f>
        <v>#N/A</v>
      </c>
      <c r="L12" s="4"/>
      <c r="M12" s="4"/>
      <c r="N12" s="4"/>
      <c r="O12" s="4"/>
      <c r="P12" s="4"/>
    </row>
    <row r="13" spans="1:16" x14ac:dyDescent="0.25">
      <c r="G13" s="4"/>
      <c r="H13" s="4"/>
      <c r="I13" s="4"/>
      <c r="J13" s="6" t="s">
        <v>43</v>
      </c>
      <c r="K13" s="4" t="e">
        <f>IF($B$2&lt;400,VLOOKUP(B4,$J$3:$M$9,2,FALSE),IF($B$2&gt;2000,VLOOKUP(B4,$J$3:$M$9,4,FALSE),VLOOKUP(B4,$J$3:$M$9,3,FALSE)))</f>
        <v>#N/A</v>
      </c>
      <c r="L13" s="4"/>
      <c r="M13" s="4"/>
      <c r="N13" s="4"/>
      <c r="O13" s="4"/>
      <c r="P13" s="4"/>
    </row>
    <row r="14" spans="1:16" x14ac:dyDescent="0.25"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x14ac:dyDescent="0.25">
      <c r="G15" s="4"/>
      <c r="H15" s="4"/>
      <c r="I15" s="4"/>
      <c r="J15" s="6" t="s">
        <v>52</v>
      </c>
      <c r="K15" s="12" t="e">
        <f>K13/K12</f>
        <v>#N/A</v>
      </c>
      <c r="L15" s="4" t="s">
        <v>53</v>
      </c>
      <c r="M15" s="4"/>
      <c r="N15" s="4"/>
      <c r="O15" s="4"/>
      <c r="P15" s="4"/>
    </row>
    <row r="16" spans="1:16" x14ac:dyDescent="0.25">
      <c r="G16" s="4"/>
      <c r="H16" s="4"/>
      <c r="I16" s="4"/>
      <c r="J16" s="6" t="s">
        <v>54</v>
      </c>
      <c r="K16" s="12" t="e">
        <f>SUMPRODUCT(J21:J36,K21:K36)/SUM(J21:J36)</f>
        <v>#N/A</v>
      </c>
      <c r="L16" s="4"/>
      <c r="M16" s="4"/>
      <c r="N16" s="4"/>
      <c r="O16" s="4"/>
      <c r="P16" s="4"/>
    </row>
    <row r="17" spans="7:16" x14ac:dyDescent="0.25"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7:16" x14ac:dyDescent="0.25"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7:16" x14ac:dyDescent="0.25">
      <c r="G19" s="4"/>
      <c r="H19" s="4"/>
      <c r="I19" s="4" t="s">
        <v>94</v>
      </c>
      <c r="J19" s="4"/>
      <c r="K19" s="4"/>
      <c r="L19" s="4"/>
      <c r="M19" s="4"/>
      <c r="N19" s="4"/>
      <c r="O19" s="4"/>
      <c r="P19" s="4"/>
    </row>
    <row r="20" spans="7:16" x14ac:dyDescent="0.25">
      <c r="G20" s="4"/>
      <c r="H20" s="4"/>
      <c r="I20" s="4"/>
      <c r="J20" s="4"/>
      <c r="K20" s="4" t="s">
        <v>73</v>
      </c>
      <c r="L20" s="4"/>
      <c r="M20" s="4"/>
      <c r="N20" s="4"/>
      <c r="O20" s="4"/>
      <c r="P20" s="4"/>
    </row>
    <row r="21" spans="7:16" x14ac:dyDescent="0.25">
      <c r="G21" s="4"/>
      <c r="H21" s="4"/>
      <c r="I21" s="7" t="s">
        <v>78</v>
      </c>
      <c r="J21" s="4">
        <v>2268</v>
      </c>
      <c r="K21" s="4">
        <v>1</v>
      </c>
      <c r="L21" s="4"/>
      <c r="M21" s="4"/>
      <c r="N21" s="4"/>
      <c r="O21" s="4"/>
      <c r="P21" s="4"/>
    </row>
    <row r="22" spans="7:16" x14ac:dyDescent="0.25">
      <c r="G22" s="4"/>
      <c r="H22" s="4"/>
      <c r="I22" s="7" t="s">
        <v>79</v>
      </c>
      <c r="J22" s="4">
        <v>726</v>
      </c>
      <c r="K22" s="4">
        <v>1</v>
      </c>
      <c r="L22" s="4"/>
      <c r="M22" s="4"/>
      <c r="N22" s="4"/>
      <c r="O22" s="4"/>
      <c r="P22" s="4"/>
    </row>
    <row r="23" spans="7:16" x14ac:dyDescent="0.25">
      <c r="G23" s="4"/>
      <c r="H23" s="4"/>
      <c r="I23" s="7" t="s">
        <v>80</v>
      </c>
      <c r="J23" s="4">
        <v>154</v>
      </c>
      <c r="K23" s="4">
        <v>1</v>
      </c>
      <c r="L23" s="4"/>
      <c r="M23" s="4"/>
      <c r="N23" s="4"/>
      <c r="O23" s="4"/>
      <c r="P23" s="4"/>
    </row>
    <row r="24" spans="7:16" x14ac:dyDescent="0.25">
      <c r="G24" s="4"/>
      <c r="H24" s="4"/>
      <c r="I24" s="7" t="s">
        <v>81</v>
      </c>
      <c r="J24" s="4">
        <v>306</v>
      </c>
      <c r="K24" s="4">
        <v>1</v>
      </c>
      <c r="L24" s="4"/>
      <c r="M24" s="4"/>
      <c r="N24" s="4"/>
      <c r="O24" s="4"/>
      <c r="P24" s="4"/>
    </row>
    <row r="25" spans="7:16" x14ac:dyDescent="0.25">
      <c r="G25" s="4"/>
      <c r="H25" s="4"/>
      <c r="I25" s="7" t="s">
        <v>82</v>
      </c>
      <c r="J25" s="4">
        <v>7</v>
      </c>
      <c r="K25" s="4">
        <v>1</v>
      </c>
      <c r="L25" s="4"/>
      <c r="M25" s="4"/>
      <c r="N25" s="4"/>
      <c r="O25" s="4"/>
      <c r="P25" s="4"/>
    </row>
    <row r="26" spans="7:16" x14ac:dyDescent="0.25">
      <c r="G26" s="4"/>
      <c r="H26" s="4"/>
      <c r="I26" s="7" t="s">
        <v>83</v>
      </c>
      <c r="J26" s="4">
        <v>2</v>
      </c>
      <c r="K26" s="4">
        <v>1</v>
      </c>
      <c r="L26" s="4"/>
      <c r="M26" s="4"/>
      <c r="N26" s="4"/>
      <c r="O26" s="4"/>
      <c r="P26" s="4"/>
    </row>
    <row r="27" spans="7:16" x14ac:dyDescent="0.25">
      <c r="G27" s="4"/>
      <c r="H27" s="4"/>
      <c r="I27" s="7" t="s">
        <v>84</v>
      </c>
      <c r="J27" s="4">
        <v>34</v>
      </c>
      <c r="K27" s="4">
        <v>1</v>
      </c>
      <c r="L27" s="4"/>
      <c r="M27" s="4"/>
      <c r="N27" s="4"/>
      <c r="O27" s="4"/>
      <c r="P27" s="4"/>
    </row>
    <row r="28" spans="7:16" x14ac:dyDescent="0.25">
      <c r="G28" s="4"/>
      <c r="H28" s="4"/>
      <c r="I28" s="7" t="s">
        <v>85</v>
      </c>
      <c r="J28" s="4">
        <v>684</v>
      </c>
      <c r="K28" s="4">
        <v>1</v>
      </c>
      <c r="L28" s="4"/>
      <c r="M28" s="4"/>
      <c r="N28" s="4"/>
      <c r="O28" s="4"/>
      <c r="P28" s="4"/>
    </row>
    <row r="29" spans="7:16" x14ac:dyDescent="0.25">
      <c r="G29" s="4"/>
      <c r="H29" s="4"/>
      <c r="I29" s="7" t="s">
        <v>86</v>
      </c>
      <c r="J29" s="4">
        <v>1971</v>
      </c>
      <c r="K29" s="4">
        <v>1</v>
      </c>
      <c r="L29" s="4"/>
      <c r="M29" s="4"/>
      <c r="N29" s="4"/>
      <c r="O29" s="4"/>
      <c r="P29" s="4"/>
    </row>
    <row r="30" spans="7:16" x14ac:dyDescent="0.25">
      <c r="G30" s="4"/>
      <c r="H30" s="4"/>
      <c r="I30" s="7" t="s">
        <v>87</v>
      </c>
      <c r="J30" s="4">
        <v>1211</v>
      </c>
      <c r="K30" s="12" t="e">
        <f>K$15</f>
        <v>#N/A</v>
      </c>
      <c r="L30" s="4"/>
      <c r="M30" s="4"/>
      <c r="N30" s="4"/>
      <c r="O30" s="4"/>
      <c r="P30" s="4"/>
    </row>
    <row r="31" spans="7:16" x14ac:dyDescent="0.25">
      <c r="G31" s="4"/>
      <c r="H31" s="4"/>
      <c r="I31" s="7" t="s">
        <v>88</v>
      </c>
      <c r="J31" s="4">
        <v>218</v>
      </c>
      <c r="K31" s="12" t="e">
        <f>K$15</f>
        <v>#N/A</v>
      </c>
      <c r="L31" s="4"/>
      <c r="M31" s="4"/>
      <c r="N31" s="4"/>
      <c r="O31" s="4"/>
      <c r="P31" s="4"/>
    </row>
    <row r="32" spans="7:16" x14ac:dyDescent="0.25">
      <c r="G32" s="4"/>
      <c r="H32" s="4"/>
      <c r="I32" s="7" t="s">
        <v>89</v>
      </c>
      <c r="J32" s="4">
        <v>874</v>
      </c>
      <c r="K32" s="12" t="e">
        <f>K$15</f>
        <v>#N/A</v>
      </c>
      <c r="L32" s="4"/>
      <c r="M32" s="4"/>
      <c r="N32" s="4"/>
      <c r="O32" s="4"/>
      <c r="P32" s="4"/>
    </row>
    <row r="33" spans="7:16" x14ac:dyDescent="0.25">
      <c r="G33" s="4"/>
      <c r="H33" s="4"/>
      <c r="I33" s="7" t="s">
        <v>90</v>
      </c>
      <c r="J33" s="4">
        <v>213</v>
      </c>
      <c r="K33" s="4">
        <v>1</v>
      </c>
      <c r="L33" s="4"/>
      <c r="M33" s="4"/>
      <c r="N33" s="4"/>
      <c r="O33" s="4"/>
      <c r="P33" s="4"/>
    </row>
    <row r="34" spans="7:16" x14ac:dyDescent="0.25">
      <c r="G34" s="4"/>
      <c r="H34" s="4"/>
      <c r="I34" s="7" t="s">
        <v>91</v>
      </c>
      <c r="J34" s="4">
        <v>4</v>
      </c>
      <c r="K34" s="4">
        <v>1</v>
      </c>
      <c r="L34" s="4"/>
      <c r="M34" s="4"/>
      <c r="N34" s="4"/>
      <c r="O34" s="4"/>
      <c r="P34" s="4"/>
    </row>
    <row r="35" spans="7:16" x14ac:dyDescent="0.25">
      <c r="G35" s="4"/>
      <c r="H35" s="4"/>
      <c r="I35" s="7" t="s">
        <v>92</v>
      </c>
      <c r="J35" s="4">
        <v>1686</v>
      </c>
      <c r="K35" s="12" t="e">
        <f>K$15</f>
        <v>#N/A</v>
      </c>
      <c r="L35" s="4"/>
      <c r="M35" s="4"/>
      <c r="N35" s="4"/>
      <c r="O35" s="4"/>
      <c r="P35" s="4"/>
    </row>
    <row r="36" spans="7:16" x14ac:dyDescent="0.25">
      <c r="G36" s="4"/>
      <c r="H36" s="4"/>
      <c r="I36" s="7" t="s">
        <v>93</v>
      </c>
      <c r="J36" s="4">
        <v>14303</v>
      </c>
      <c r="K36" s="12" t="e">
        <f>K$15</f>
        <v>#N/A</v>
      </c>
      <c r="L36" s="4"/>
      <c r="M36" s="4"/>
      <c r="N36" s="4"/>
      <c r="O36" s="4"/>
      <c r="P36" s="4"/>
    </row>
    <row r="37" spans="7:16" x14ac:dyDescent="0.25">
      <c r="G37" s="4"/>
      <c r="H37" s="4"/>
      <c r="I37" s="4"/>
      <c r="J37" s="4"/>
      <c r="K37" s="4"/>
      <c r="L37" s="4"/>
      <c r="M37" s="4"/>
      <c r="N37" s="4"/>
      <c r="O37" s="4"/>
      <c r="P37" s="4"/>
    </row>
  </sheetData>
  <mergeCells count="1">
    <mergeCell ref="A1:C1"/>
  </mergeCells>
  <dataValidations count="1">
    <dataValidation type="list" allowBlank="1" showInputMessage="1" showErrorMessage="1" sqref="B3:B4" xr:uid="{24FD2BC7-20C8-45C0-817D-C3A3AB90AD39}">
      <formula1>width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EF174-9600-4D1D-ADC5-DBA5B0D998BF}">
  <sheetPr codeName="Sheet4"/>
  <dimension ref="A1:X23"/>
  <sheetViews>
    <sheetView workbookViewId="0">
      <selection activeCell="N22" sqref="N22"/>
    </sheetView>
  </sheetViews>
  <sheetFormatPr defaultRowHeight="15" x14ac:dyDescent="0.25"/>
  <cols>
    <col min="1" max="1" width="20.7109375" bestFit="1" customWidth="1"/>
    <col min="10" max="10" width="14" bestFit="1" customWidth="1"/>
  </cols>
  <sheetData>
    <row r="1" spans="1:24" ht="23.25" x14ac:dyDescent="0.35">
      <c r="A1" s="108" t="s">
        <v>39</v>
      </c>
      <c r="B1" s="108"/>
      <c r="C1" s="108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4" x14ac:dyDescent="0.25">
      <c r="A2" s="1" t="s">
        <v>37</v>
      </c>
      <c r="B2" s="2"/>
      <c r="C2" t="s">
        <v>40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x14ac:dyDescent="0.25">
      <c r="A3" s="1" t="s">
        <v>38</v>
      </c>
      <c r="B3" s="2"/>
      <c r="C3" t="s">
        <v>40</v>
      </c>
      <c r="G3" s="4"/>
      <c r="H3" s="4" t="s">
        <v>57</v>
      </c>
      <c r="I3" s="4">
        <f>LN(41.1+4.56*(B$3-12)^2)</f>
        <v>6.5478465405330066</v>
      </c>
      <c r="J3" s="4" t="s">
        <v>59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x14ac:dyDescent="0.25">
      <c r="A4" s="1" t="s">
        <v>55</v>
      </c>
      <c r="B4" s="2"/>
      <c r="C4" t="s">
        <v>56</v>
      </c>
      <c r="G4" s="4"/>
      <c r="H4" s="4" t="s">
        <v>57</v>
      </c>
      <c r="I4" s="4">
        <f>LN(41.1+2.78*(B$3-12))</f>
        <v>2.046401687601636</v>
      </c>
      <c r="J4" s="4" t="s">
        <v>60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x14ac:dyDescent="0.25">
      <c r="G5" s="4"/>
      <c r="H5" s="4" t="s">
        <v>57</v>
      </c>
      <c r="I5" s="4">
        <f>LN(43.9-11.24*(B$3-13))</f>
        <v>5.2471293297786037</v>
      </c>
      <c r="J5" s="4" t="s">
        <v>61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x14ac:dyDescent="0.25">
      <c r="A6" s="1" t="s">
        <v>30</v>
      </c>
      <c r="B6" s="11">
        <f>EXP(0.004*B4*(I11-I12))</f>
        <v>1</v>
      </c>
      <c r="G6" s="4"/>
      <c r="H6" s="4" t="s">
        <v>58</v>
      </c>
      <c r="I6" s="4">
        <f>LN(41.1+4.56*(B$2-12)^2)</f>
        <v>6.5478465405330066</v>
      </c>
      <c r="J6" s="4" t="s">
        <v>62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x14ac:dyDescent="0.25">
      <c r="G7" s="4"/>
      <c r="H7" s="4" t="s">
        <v>58</v>
      </c>
      <c r="I7" s="4">
        <f>LN(41.1+2.78*(B$2-12))</f>
        <v>2.046401687601636</v>
      </c>
      <c r="J7" s="4" t="s">
        <v>63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G8" s="4"/>
      <c r="H8" s="4" t="s">
        <v>58</v>
      </c>
      <c r="I8" s="4">
        <f>LN(43.9-11.24*(B$2-13))</f>
        <v>5.2471293297786037</v>
      </c>
      <c r="J8" s="4" t="s">
        <v>64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x14ac:dyDescent="0.25"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x14ac:dyDescent="0.25"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5">
      <c r="G11" s="4"/>
      <c r="H11" s="4" t="s">
        <v>57</v>
      </c>
      <c r="I11" s="4">
        <f>IF(B3&lt;=12,I3,IF(B3&gt;13,I5,I4))</f>
        <v>6.5478465405330066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x14ac:dyDescent="0.25">
      <c r="G12" s="4"/>
      <c r="H12" s="4" t="s">
        <v>58</v>
      </c>
      <c r="I12" s="4">
        <f>IF(B2&lt;=12,I6,IF(B2&gt;13,I8,I7))</f>
        <v>6.5478465405330066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x14ac:dyDescent="0.25"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x14ac:dyDescent="0.25"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x14ac:dyDescent="0.25"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25"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7:24" x14ac:dyDescent="0.25"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7:24" x14ac:dyDescent="0.25"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7:24" x14ac:dyDescent="0.25"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7:24" x14ac:dyDescent="0.25"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7:24" x14ac:dyDescent="0.25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7:24" x14ac:dyDescent="0.25">
      <c r="G22" s="4"/>
      <c r="H22" s="4"/>
      <c r="I22" s="4"/>
      <c r="J22" s="4"/>
      <c r="K22" s="4"/>
      <c r="L22" s="4"/>
      <c r="M22" s="4"/>
      <c r="N22" s="129" t="s">
        <v>65</v>
      </c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7:24" x14ac:dyDescent="0.25"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mergeCells count="1">
    <mergeCell ref="A1:C1"/>
  </mergeCells>
  <hyperlinks>
    <hyperlink ref="N22" r:id="rId1" xr:uid="{D43494CB-EC27-4453-AE93-EEA505174689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347E3-D03B-4F15-AF9F-7119E3C9C276}">
  <sheetPr codeName="Sheet5"/>
  <dimension ref="A1:P30"/>
  <sheetViews>
    <sheetView workbookViewId="0">
      <selection activeCell="I11" sqref="I11"/>
    </sheetView>
  </sheetViews>
  <sheetFormatPr defaultRowHeight="15" x14ac:dyDescent="0.25"/>
  <cols>
    <col min="1" max="1" width="31.28515625" bestFit="1" customWidth="1"/>
    <col min="2" max="2" width="30.5703125" customWidth="1"/>
    <col min="3" max="3" width="15.7109375" bestFit="1" customWidth="1"/>
    <col min="11" max="11" width="15.7109375" customWidth="1"/>
    <col min="12" max="12" width="10.7109375" bestFit="1" customWidth="1"/>
    <col min="13" max="13" width="18.85546875" bestFit="1" customWidth="1"/>
    <col min="14" max="14" width="11.7109375" bestFit="1" customWidth="1"/>
  </cols>
  <sheetData>
    <row r="1" spans="1:16" ht="23.25" x14ac:dyDescent="0.35">
      <c r="A1" s="108" t="s">
        <v>39</v>
      </c>
      <c r="B1" s="108"/>
      <c r="C1" s="108"/>
      <c r="H1" s="4"/>
      <c r="I1" s="4"/>
      <c r="J1" s="4"/>
      <c r="K1" s="4"/>
      <c r="L1" s="4" t="s">
        <v>72</v>
      </c>
      <c r="M1" s="4" t="s">
        <v>73</v>
      </c>
      <c r="N1" s="4"/>
      <c r="O1" s="4"/>
      <c r="P1" s="4"/>
    </row>
    <row r="2" spans="1:16" x14ac:dyDescent="0.25">
      <c r="A2" s="1" t="s">
        <v>69</v>
      </c>
      <c r="B2" s="2" t="s">
        <v>74</v>
      </c>
      <c r="H2" s="4"/>
      <c r="I2" s="4"/>
      <c r="J2" s="4"/>
      <c r="K2" s="7" t="s">
        <v>66</v>
      </c>
      <c r="L2" s="4">
        <v>-1.72E-2</v>
      </c>
      <c r="M2" s="4">
        <f>EXP(L2*(B$4-6))/EXP(L2*(B$3-6))</f>
        <v>0.94970867434606321</v>
      </c>
      <c r="N2" s="4"/>
      <c r="O2" s="4"/>
      <c r="P2" s="4"/>
    </row>
    <row r="3" spans="1:16" x14ac:dyDescent="0.25">
      <c r="A3" s="1" t="s">
        <v>70</v>
      </c>
      <c r="B3" s="2">
        <v>1</v>
      </c>
      <c r="C3" t="s">
        <v>40</v>
      </c>
      <c r="H3" s="4"/>
      <c r="I3" s="4"/>
      <c r="J3" s="4"/>
      <c r="K3" s="7" t="s">
        <v>67</v>
      </c>
      <c r="L3" s="4">
        <v>-8.9700000000000002E-2</v>
      </c>
      <c r="M3" s="4">
        <f>EXP(L3*(B$4-10))/EXP(L3*(B$3-10))</f>
        <v>0.76406684514322309</v>
      </c>
      <c r="N3" s="4"/>
      <c r="O3" s="4"/>
      <c r="P3" s="4"/>
    </row>
    <row r="4" spans="1:16" x14ac:dyDescent="0.25">
      <c r="A4" s="1" t="s">
        <v>71</v>
      </c>
      <c r="B4" s="2">
        <v>4</v>
      </c>
      <c r="C4" t="s">
        <v>40</v>
      </c>
      <c r="H4" s="4"/>
      <c r="I4" s="4"/>
      <c r="J4" s="4"/>
      <c r="K4" s="7" t="s">
        <v>68</v>
      </c>
      <c r="L4" s="4">
        <v>-6.4699999999999994E-2</v>
      </c>
      <c r="M4" s="4">
        <f>EXP(L4*(B$4-10))/EXP(L4*(B$3-10))</f>
        <v>0.82357554259630228</v>
      </c>
      <c r="N4" s="4"/>
      <c r="O4" s="4"/>
      <c r="P4" s="4"/>
    </row>
    <row r="5" spans="1:16" x14ac:dyDescent="0.25">
      <c r="A5" s="1" t="s">
        <v>35</v>
      </c>
      <c r="B5" s="2">
        <v>12000</v>
      </c>
      <c r="C5" t="s">
        <v>196</v>
      </c>
      <c r="H5" s="4"/>
      <c r="I5" s="4"/>
      <c r="J5" s="4"/>
      <c r="K5" s="7" t="s">
        <v>74</v>
      </c>
      <c r="L5" s="4"/>
      <c r="M5" s="4">
        <f>L29/L28</f>
        <v>0.8214285714285714</v>
      </c>
      <c r="N5" s="4"/>
      <c r="O5" s="4"/>
      <c r="P5" s="4"/>
    </row>
    <row r="6" spans="1:16" x14ac:dyDescent="0.25">
      <c r="H6" s="4"/>
      <c r="I6" s="4"/>
      <c r="J6" s="4"/>
      <c r="K6" s="4"/>
      <c r="L6" s="4"/>
      <c r="M6" s="4"/>
      <c r="N6" s="4"/>
      <c r="O6" s="4"/>
      <c r="P6" s="4"/>
    </row>
    <row r="7" spans="1:16" x14ac:dyDescent="0.25">
      <c r="A7" s="1" t="s">
        <v>30</v>
      </c>
      <c r="B7" s="11">
        <f>IFERROR(VLOOKUP(B2,K2:M5,3,FALSE)," ")</f>
        <v>0.8214285714285714</v>
      </c>
      <c r="H7" s="4"/>
      <c r="I7" s="4"/>
      <c r="J7" s="4"/>
      <c r="K7" s="4"/>
      <c r="L7" s="4"/>
      <c r="M7" s="4"/>
      <c r="N7" s="4"/>
      <c r="O7" s="4"/>
      <c r="P7" s="4"/>
    </row>
    <row r="8" spans="1:16" x14ac:dyDescent="0.25">
      <c r="H8" s="4"/>
      <c r="I8" s="4"/>
      <c r="J8" s="4"/>
      <c r="K8" s="4"/>
      <c r="L8" s="4"/>
      <c r="M8" s="4"/>
      <c r="N8" s="4"/>
      <c r="O8" s="4"/>
      <c r="P8" s="4"/>
    </row>
    <row r="9" spans="1:16" x14ac:dyDescent="0.25"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H10" s="4"/>
      <c r="I10" s="4"/>
      <c r="J10" s="4"/>
      <c r="K10" s="4"/>
      <c r="L10" s="4"/>
      <c r="M10" s="4" t="s">
        <v>31</v>
      </c>
      <c r="N10" s="4"/>
      <c r="O10" s="4"/>
      <c r="P10" s="4"/>
    </row>
    <row r="11" spans="1:16" x14ac:dyDescent="0.25">
      <c r="H11" s="4"/>
      <c r="I11" s="4"/>
      <c r="J11" s="4"/>
      <c r="K11" s="5" t="s">
        <v>75</v>
      </c>
      <c r="L11" s="5" t="s">
        <v>33</v>
      </c>
      <c r="M11" s="5" t="s">
        <v>36</v>
      </c>
      <c r="N11" s="5" t="s">
        <v>34</v>
      </c>
      <c r="O11" s="4"/>
      <c r="P11" s="4"/>
    </row>
    <row r="12" spans="1:16" x14ac:dyDescent="0.25">
      <c r="H12" s="4"/>
      <c r="I12" s="4"/>
      <c r="J12" s="4"/>
      <c r="K12" s="4">
        <v>0</v>
      </c>
      <c r="L12" s="4">
        <v>1.1000000000000001</v>
      </c>
      <c r="M12" s="4">
        <f>L12+2.5*10^-4*($B$5-400)</f>
        <v>4</v>
      </c>
      <c r="N12" s="4">
        <v>1.5</v>
      </c>
      <c r="O12" s="4"/>
      <c r="P12" s="4"/>
    </row>
    <row r="13" spans="1:16" x14ac:dyDescent="0.25">
      <c r="H13" s="4"/>
      <c r="I13" s="4"/>
      <c r="J13" s="4"/>
      <c r="K13" s="4">
        <v>1</v>
      </c>
      <c r="L13" s="4">
        <f>AVERAGE(L12,L14)</f>
        <v>1.085</v>
      </c>
      <c r="M13" s="4">
        <f t="shared" ref="M13:N13" si="0">AVERAGE(M12,M14)</f>
        <v>3.9849999999999999</v>
      </c>
      <c r="N13" s="4">
        <f t="shared" si="0"/>
        <v>1.4</v>
      </c>
      <c r="O13" s="4"/>
      <c r="P13" s="4"/>
    </row>
    <row r="14" spans="1:16" x14ac:dyDescent="0.25">
      <c r="H14" s="4"/>
      <c r="I14" s="4"/>
      <c r="J14" s="4"/>
      <c r="K14" s="4">
        <v>2</v>
      </c>
      <c r="L14" s="4">
        <v>1.07</v>
      </c>
      <c r="M14" s="4">
        <f>L14+2.5*10^-4*($B$5-400)</f>
        <v>3.9699999999999998</v>
      </c>
      <c r="N14" s="4">
        <v>1.3</v>
      </c>
      <c r="O14" s="4"/>
      <c r="P14" s="4"/>
    </row>
    <row r="15" spans="1:16" x14ac:dyDescent="0.25">
      <c r="H15" s="4"/>
      <c r="I15" s="4"/>
      <c r="J15" s="4"/>
      <c r="K15" s="4">
        <v>3</v>
      </c>
      <c r="L15" s="4">
        <f>AVERAGE(L14,L16)</f>
        <v>1.0449999999999999</v>
      </c>
      <c r="M15" s="4">
        <f t="shared" ref="M15" si="1">AVERAGE(M14,M16)</f>
        <v>3.9449999999999998</v>
      </c>
      <c r="N15" s="4">
        <f t="shared" ref="N15" si="2">AVERAGE(N14,N16)</f>
        <v>1.2250000000000001</v>
      </c>
      <c r="O15" s="4"/>
      <c r="P15" s="4"/>
    </row>
    <row r="16" spans="1:16" x14ac:dyDescent="0.25">
      <c r="H16" s="4"/>
      <c r="I16" s="4"/>
      <c r="J16" s="4"/>
      <c r="K16" s="4">
        <v>4</v>
      </c>
      <c r="L16" s="4">
        <v>1.02</v>
      </c>
      <c r="M16" s="4">
        <f>L16+2.5*10^-4*($B$5-400)</f>
        <v>3.92</v>
      </c>
      <c r="N16" s="4">
        <v>1.1499999999999999</v>
      </c>
      <c r="O16" s="4"/>
      <c r="P16" s="4"/>
    </row>
    <row r="17" spans="8:16" x14ac:dyDescent="0.25">
      <c r="H17" s="4"/>
      <c r="I17" s="4"/>
      <c r="J17" s="4"/>
      <c r="K17" s="4">
        <v>5</v>
      </c>
      <c r="L17" s="4">
        <f>AVERAGE(L16,L18)</f>
        <v>1.01</v>
      </c>
      <c r="M17" s="4">
        <f t="shared" ref="M17" si="3">AVERAGE(M16,M18)</f>
        <v>3.91</v>
      </c>
      <c r="N17" s="4">
        <f t="shared" ref="N17" si="4">AVERAGE(N16,N18)</f>
        <v>1.075</v>
      </c>
      <c r="O17" s="4"/>
      <c r="P17" s="4"/>
    </row>
    <row r="18" spans="8:16" x14ac:dyDescent="0.25">
      <c r="H18" s="4"/>
      <c r="I18" s="4"/>
      <c r="J18" s="4"/>
      <c r="K18" s="4">
        <v>6</v>
      </c>
      <c r="L18" s="4">
        <v>1</v>
      </c>
      <c r="M18" s="4">
        <f>L18+2.5*10^-4*($B$5-400)</f>
        <v>3.9</v>
      </c>
      <c r="N18" s="4">
        <v>1</v>
      </c>
      <c r="O18" s="4"/>
      <c r="P18" s="4"/>
    </row>
    <row r="19" spans="8:16" x14ac:dyDescent="0.25">
      <c r="H19" s="4"/>
      <c r="I19" s="4"/>
      <c r="J19" s="4"/>
      <c r="K19" s="4">
        <v>7</v>
      </c>
      <c r="L19" s="4">
        <f>AVERAGE(L18,L20)</f>
        <v>0.99</v>
      </c>
      <c r="M19" s="4">
        <f t="shared" ref="M19" si="5">AVERAGE(M18,M20)</f>
        <v>3.8899999999999997</v>
      </c>
      <c r="N19" s="4">
        <f t="shared" ref="N19" si="6">AVERAGE(N18,N20)</f>
        <v>0.93500000000000005</v>
      </c>
      <c r="O19" s="4"/>
      <c r="P19" s="4"/>
    </row>
    <row r="20" spans="8:16" x14ac:dyDescent="0.25">
      <c r="H20" s="4"/>
      <c r="I20" s="4"/>
      <c r="J20" s="4"/>
      <c r="K20" s="4">
        <v>8</v>
      </c>
      <c r="L20" s="4">
        <v>0.98</v>
      </c>
      <c r="M20" s="4">
        <f>L20+2.5*10^-4*($B$5-400)</f>
        <v>3.88</v>
      </c>
      <c r="N20" s="4">
        <v>0.87</v>
      </c>
      <c r="O20" s="4"/>
      <c r="P20" s="4"/>
    </row>
    <row r="21" spans="8:16" x14ac:dyDescent="0.25">
      <c r="H21" s="4"/>
      <c r="I21" s="4"/>
      <c r="J21" s="4"/>
      <c r="K21" s="7">
        <v>9</v>
      </c>
      <c r="L21" s="4">
        <f>L20</f>
        <v>0.98</v>
      </c>
      <c r="M21" s="4">
        <f>M20</f>
        <v>3.88</v>
      </c>
      <c r="N21" s="4">
        <f>N20</f>
        <v>0.87</v>
      </c>
      <c r="O21" s="4"/>
      <c r="P21" s="4"/>
    </row>
    <row r="22" spans="8:16" x14ac:dyDescent="0.25">
      <c r="H22" s="4"/>
      <c r="I22" s="4"/>
      <c r="J22" s="4"/>
      <c r="K22" s="7">
        <v>10</v>
      </c>
      <c r="L22" s="4">
        <f t="shared" ref="L22:L26" si="7">L21</f>
        <v>0.98</v>
      </c>
      <c r="M22" s="4">
        <f t="shared" ref="M22:M26" si="8">M21</f>
        <v>3.88</v>
      </c>
      <c r="N22" s="4">
        <f t="shared" ref="N22:N26" si="9">N21</f>
        <v>0.87</v>
      </c>
      <c r="O22" s="4"/>
      <c r="P22" s="4"/>
    </row>
    <row r="23" spans="8:16" x14ac:dyDescent="0.25">
      <c r="H23" s="4"/>
      <c r="I23" s="4"/>
      <c r="J23" s="4"/>
      <c r="K23" s="4">
        <v>11</v>
      </c>
      <c r="L23" s="4">
        <f t="shared" si="7"/>
        <v>0.98</v>
      </c>
      <c r="M23" s="4">
        <f t="shared" si="8"/>
        <v>3.88</v>
      </c>
      <c r="N23" s="4">
        <f t="shared" si="9"/>
        <v>0.87</v>
      </c>
      <c r="O23" s="4"/>
      <c r="P23" s="4"/>
    </row>
    <row r="24" spans="8:16" x14ac:dyDescent="0.25">
      <c r="H24" s="4"/>
      <c r="I24" s="4"/>
      <c r="J24" s="4"/>
      <c r="K24" s="7">
        <v>12</v>
      </c>
      <c r="L24" s="4">
        <f t="shared" si="7"/>
        <v>0.98</v>
      </c>
      <c r="M24" s="4">
        <f t="shared" si="8"/>
        <v>3.88</v>
      </c>
      <c r="N24" s="4">
        <f t="shared" si="9"/>
        <v>0.87</v>
      </c>
      <c r="O24" s="4"/>
      <c r="P24" s="4"/>
    </row>
    <row r="25" spans="8:16" x14ac:dyDescent="0.25">
      <c r="H25" s="4"/>
      <c r="I25" s="4"/>
      <c r="J25" s="4"/>
      <c r="K25" s="7">
        <v>13</v>
      </c>
      <c r="L25" s="4">
        <f t="shared" si="7"/>
        <v>0.98</v>
      </c>
      <c r="M25" s="4">
        <f t="shared" si="8"/>
        <v>3.88</v>
      </c>
      <c r="N25" s="4">
        <f t="shared" si="9"/>
        <v>0.87</v>
      </c>
      <c r="O25" s="4"/>
      <c r="P25" s="4"/>
    </row>
    <row r="26" spans="8:16" x14ac:dyDescent="0.25">
      <c r="H26" s="4"/>
      <c r="I26" s="4"/>
      <c r="J26" s="4"/>
      <c r="K26" s="7">
        <v>14</v>
      </c>
      <c r="L26" s="4">
        <f t="shared" si="7"/>
        <v>0.98</v>
      </c>
      <c r="M26" s="4">
        <f t="shared" si="8"/>
        <v>3.88</v>
      </c>
      <c r="N26" s="4">
        <f t="shared" si="9"/>
        <v>0.87</v>
      </c>
      <c r="O26" s="4"/>
      <c r="P26" s="4"/>
    </row>
    <row r="27" spans="8:16" x14ac:dyDescent="0.25">
      <c r="H27" s="4"/>
      <c r="I27" s="4"/>
      <c r="J27" s="4"/>
      <c r="K27" s="4"/>
      <c r="L27" s="4"/>
      <c r="M27" s="4"/>
      <c r="N27" s="4"/>
      <c r="O27" s="4"/>
      <c r="P27" s="4"/>
    </row>
    <row r="28" spans="8:16" x14ac:dyDescent="0.25">
      <c r="H28" s="4"/>
      <c r="I28" s="4"/>
      <c r="J28" s="4"/>
      <c r="K28" s="7" t="s">
        <v>76</v>
      </c>
      <c r="L28" s="4">
        <f>IF($B$5&lt;400,VLOOKUP(B3,$K$12:$N$26,2,FALSE),IF($B$5&gt;2000,VLOOKUP(B3,$K$12:$N$26,4,FALSE),VLOOKUP(B3,$K$12:$N$26,3,FALSE)))</f>
        <v>1.4</v>
      </c>
      <c r="M28" s="4"/>
      <c r="N28" s="4"/>
      <c r="O28" s="4"/>
      <c r="P28" s="4"/>
    </row>
    <row r="29" spans="8:16" x14ac:dyDescent="0.25">
      <c r="H29" s="4"/>
      <c r="I29" s="4"/>
      <c r="J29" s="4"/>
      <c r="K29" s="7" t="s">
        <v>77</v>
      </c>
      <c r="L29" s="4">
        <f>IF($B$5&lt;400,VLOOKUP(B4,$K$12:$N$26,2,FALSE),IF($B$5&gt;2000,VLOOKUP(B4,$K$12:$N$26,4,FALSE),VLOOKUP(B4,$K$12:$N$26,3,FALSE)))</f>
        <v>1.1499999999999999</v>
      </c>
      <c r="M29" s="4"/>
      <c r="N29" s="4"/>
      <c r="O29" s="4"/>
      <c r="P29" s="4"/>
    </row>
    <row r="30" spans="8:16" x14ac:dyDescent="0.25">
      <c r="H30" s="4"/>
      <c r="I30" s="4"/>
      <c r="J30" s="4"/>
      <c r="K30" s="4"/>
      <c r="L30" s="4"/>
      <c r="M30" s="4"/>
      <c r="N30" s="4"/>
      <c r="O30" s="4"/>
      <c r="P30" s="4"/>
    </row>
  </sheetData>
  <mergeCells count="1">
    <mergeCell ref="A1:C1"/>
  </mergeCells>
  <dataValidations count="2">
    <dataValidation type="list" allowBlank="1" showInputMessage="1" showErrorMessage="1" sqref="B2" xr:uid="{89DCFBFD-0DAE-4D21-A809-3DB440D9B673}">
      <formula1>Types</formula1>
    </dataValidation>
    <dataValidation type="whole" allowBlank="1" showInputMessage="1" showErrorMessage="1" prompt="Select width to the nearest foot" sqref="B3:B4" xr:uid="{C158C1CC-6B73-4AE9-8BE1-CF5451B52169}">
      <formula1>0</formula1>
      <formula2>14</formula2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CCB79-3FEC-4E33-B62C-A9BFC9EAB5AB}">
  <sheetPr codeName="Sheet6"/>
  <dimension ref="A1:T31"/>
  <sheetViews>
    <sheetView topLeftCell="A30" zoomScale="90" zoomScaleNormal="90" workbookViewId="0">
      <selection activeCell="J23" sqref="J23"/>
    </sheetView>
  </sheetViews>
  <sheetFormatPr defaultRowHeight="15" x14ac:dyDescent="0.25"/>
  <cols>
    <col min="1" max="1" width="30.85546875" bestFit="1" customWidth="1"/>
    <col min="2" max="2" width="8.7109375" customWidth="1"/>
    <col min="5" max="5" width="18.42578125" customWidth="1"/>
    <col min="6" max="6" width="18.140625" customWidth="1"/>
    <col min="7" max="10" width="17.7109375" bestFit="1" customWidth="1"/>
    <col min="14" max="19" width="17.7109375" bestFit="1" customWidth="1"/>
  </cols>
  <sheetData>
    <row r="1" spans="1:20" ht="23.25" x14ac:dyDescent="0.35">
      <c r="A1" s="108" t="s">
        <v>39</v>
      </c>
      <c r="B1" s="108"/>
      <c r="C1" s="108"/>
      <c r="E1" s="14" t="s">
        <v>95</v>
      </c>
      <c r="F1" s="14" t="s">
        <v>96</v>
      </c>
    </row>
    <row r="2" spans="1:20" x14ac:dyDescent="0.25">
      <c r="A2" s="1" t="s">
        <v>106</v>
      </c>
      <c r="B2" s="2">
        <v>4</v>
      </c>
      <c r="E2" s="14">
        <v>1</v>
      </c>
      <c r="F2" t="s">
        <v>97</v>
      </c>
    </row>
    <row r="3" spans="1:20" x14ac:dyDescent="0.25">
      <c r="A3" s="1" t="s">
        <v>107</v>
      </c>
      <c r="B3" s="2">
        <v>3</v>
      </c>
      <c r="E3" s="14">
        <v>2</v>
      </c>
      <c r="F3" t="s">
        <v>98</v>
      </c>
    </row>
    <row r="4" spans="1:20" x14ac:dyDescent="0.25">
      <c r="E4" s="14">
        <v>3</v>
      </c>
      <c r="F4" t="s">
        <v>99</v>
      </c>
    </row>
    <row r="5" spans="1:20" ht="30" x14ac:dyDescent="0.25">
      <c r="A5" s="13" t="s">
        <v>117</v>
      </c>
      <c r="B5" s="11">
        <f>IF(B3-B2&gt;=0,"Proposed Roadside Hazard Rating should be less than Existing",IFERROR(VLOOKUP((B2-B3),N18:O23,2,FALSE)," "))</f>
        <v>0.91538547808496917</v>
      </c>
      <c r="E5" s="14">
        <v>4</v>
      </c>
      <c r="F5" t="s">
        <v>100</v>
      </c>
    </row>
    <row r="6" spans="1:20" x14ac:dyDescent="0.25">
      <c r="E6" s="14">
        <v>5</v>
      </c>
      <c r="F6" t="s">
        <v>101</v>
      </c>
    </row>
    <row r="7" spans="1:20" x14ac:dyDescent="0.25">
      <c r="E7" s="14">
        <v>6</v>
      </c>
      <c r="F7" t="s">
        <v>102</v>
      </c>
    </row>
    <row r="8" spans="1:20" x14ac:dyDescent="0.25">
      <c r="E8" s="14">
        <v>7</v>
      </c>
      <c r="F8" t="s">
        <v>103</v>
      </c>
    </row>
    <row r="10" spans="1:20" x14ac:dyDescent="0.25">
      <c r="E10" t="s">
        <v>105</v>
      </c>
    </row>
    <row r="11" spans="1:20" x14ac:dyDescent="0.25">
      <c r="E11" s="27" t="s">
        <v>104</v>
      </c>
      <c r="M11" s="4"/>
      <c r="N11" s="4"/>
      <c r="O11" s="4"/>
      <c r="P11" s="4"/>
      <c r="Q11" s="4"/>
      <c r="R11" s="4"/>
      <c r="S11" s="4"/>
      <c r="T11" s="4"/>
    </row>
    <row r="12" spans="1:20" x14ac:dyDescent="0.25">
      <c r="M12" s="4"/>
      <c r="N12" s="4"/>
      <c r="O12" s="4"/>
      <c r="P12" s="4"/>
      <c r="Q12" s="4"/>
      <c r="R12" s="4"/>
      <c r="S12" s="4"/>
      <c r="T12" s="4"/>
    </row>
    <row r="13" spans="1:20" x14ac:dyDescent="0.25">
      <c r="M13" s="4"/>
      <c r="N13" s="109" t="s">
        <v>108</v>
      </c>
      <c r="O13" s="109"/>
      <c r="P13" s="109"/>
      <c r="Q13" s="109"/>
      <c r="R13" s="109"/>
      <c r="S13" s="109"/>
      <c r="T13" s="4"/>
    </row>
    <row r="14" spans="1:20" x14ac:dyDescent="0.25">
      <c r="M14" s="4"/>
      <c r="N14" s="28" t="s">
        <v>109</v>
      </c>
      <c r="O14" s="28" t="s">
        <v>110</v>
      </c>
      <c r="P14" s="28" t="s">
        <v>111</v>
      </c>
      <c r="Q14" s="28" t="s">
        <v>112</v>
      </c>
      <c r="R14" s="28" t="s">
        <v>113</v>
      </c>
      <c r="S14" s="28" t="s">
        <v>114</v>
      </c>
      <c r="T14" s="4"/>
    </row>
    <row r="15" spans="1:20" x14ac:dyDescent="0.25">
      <c r="M15" s="4"/>
      <c r="N15" s="29">
        <v>0.91538547808496895</v>
      </c>
      <c r="O15" s="29">
        <v>0.83367474044005196</v>
      </c>
      <c r="P15" s="29">
        <v>0.75724396607047628</v>
      </c>
      <c r="Q15" s="29">
        <v>0.68575197567726143</v>
      </c>
      <c r="R15" s="29">
        <v>0.61887963619697328</v>
      </c>
      <c r="S15" s="29">
        <v>0.55632843622379002</v>
      </c>
      <c r="T15" s="4"/>
    </row>
    <row r="16" spans="1:20" x14ac:dyDescent="0.25">
      <c r="M16" s="4"/>
      <c r="N16" s="4"/>
      <c r="O16" s="4"/>
      <c r="P16" s="4"/>
      <c r="Q16" s="4"/>
      <c r="R16" s="4"/>
      <c r="S16" s="4"/>
      <c r="T16" s="4"/>
    </row>
    <row r="17" spans="13:20" x14ac:dyDescent="0.25">
      <c r="M17" s="4"/>
      <c r="N17" s="4" t="s">
        <v>115</v>
      </c>
      <c r="O17" s="4" t="s">
        <v>116</v>
      </c>
      <c r="P17" s="4"/>
      <c r="Q17" s="4"/>
      <c r="R17" s="4"/>
      <c r="S17" s="4"/>
      <c r="T17" s="4"/>
    </row>
    <row r="18" spans="13:20" x14ac:dyDescent="0.25">
      <c r="M18" s="4"/>
      <c r="N18" s="4">
        <v>1</v>
      </c>
      <c r="O18" s="29">
        <v>0.91538547808496917</v>
      </c>
      <c r="P18" s="4"/>
      <c r="Q18" s="4"/>
      <c r="R18" s="4"/>
      <c r="S18" s="4"/>
      <c r="T18" s="4"/>
    </row>
    <row r="19" spans="13:20" x14ac:dyDescent="0.25">
      <c r="M19" s="4"/>
      <c r="N19" s="4">
        <v>2</v>
      </c>
      <c r="O19" s="29">
        <v>0.83367474044005196</v>
      </c>
      <c r="P19" s="4"/>
      <c r="Q19" s="4"/>
      <c r="R19" s="4"/>
      <c r="S19" s="4"/>
      <c r="T19" s="4"/>
    </row>
    <row r="20" spans="13:20" x14ac:dyDescent="0.25">
      <c r="M20" s="4"/>
      <c r="N20" s="4">
        <v>3</v>
      </c>
      <c r="O20" s="29">
        <v>0.75724396607047628</v>
      </c>
      <c r="P20" s="4"/>
      <c r="Q20" s="4"/>
      <c r="R20" s="4"/>
      <c r="S20" s="4"/>
      <c r="T20" s="4"/>
    </row>
    <row r="21" spans="13:20" x14ac:dyDescent="0.25">
      <c r="M21" s="4"/>
      <c r="N21" s="4">
        <v>4</v>
      </c>
      <c r="O21" s="29">
        <v>0.68575197567726143</v>
      </c>
      <c r="P21" s="4"/>
      <c r="Q21" s="4"/>
      <c r="R21" s="4"/>
      <c r="S21" s="4"/>
      <c r="T21" s="4"/>
    </row>
    <row r="22" spans="13:20" x14ac:dyDescent="0.25">
      <c r="M22" s="4"/>
      <c r="N22" s="4">
        <v>5</v>
      </c>
      <c r="O22" s="29">
        <v>0.61887963619697328</v>
      </c>
      <c r="P22" s="4"/>
      <c r="Q22" s="4"/>
      <c r="R22" s="4"/>
      <c r="S22" s="4"/>
      <c r="T22" s="4"/>
    </row>
    <row r="23" spans="13:20" x14ac:dyDescent="0.25">
      <c r="M23" s="4"/>
      <c r="N23" s="4">
        <v>6</v>
      </c>
      <c r="O23" s="29">
        <v>0.55632843622379002</v>
      </c>
      <c r="P23" s="4"/>
      <c r="Q23" s="4"/>
      <c r="R23" s="4"/>
      <c r="S23" s="4"/>
      <c r="T23" s="4"/>
    </row>
    <row r="24" spans="13:20" x14ac:dyDescent="0.25">
      <c r="M24" s="4"/>
      <c r="N24" s="4"/>
      <c r="O24" s="4"/>
      <c r="P24" s="4"/>
      <c r="Q24" s="4"/>
      <c r="R24" s="4"/>
      <c r="S24" s="4"/>
      <c r="T24" s="4"/>
    </row>
    <row r="25" spans="13:20" x14ac:dyDescent="0.25">
      <c r="M25" s="4"/>
      <c r="N25" s="4"/>
      <c r="O25" s="4"/>
      <c r="P25" s="4"/>
      <c r="Q25" s="4"/>
      <c r="R25" s="4"/>
      <c r="S25" s="4"/>
      <c r="T25" s="4"/>
    </row>
    <row r="26" spans="13:20" x14ac:dyDescent="0.25">
      <c r="M26" s="4"/>
      <c r="N26" s="4"/>
      <c r="O26" s="4"/>
      <c r="P26" s="4"/>
      <c r="Q26" s="4"/>
      <c r="R26" s="4"/>
      <c r="S26" s="4"/>
      <c r="T26" s="4"/>
    </row>
    <row r="27" spans="13:20" x14ac:dyDescent="0.25">
      <c r="M27" s="4"/>
      <c r="N27" s="4"/>
      <c r="O27" s="4"/>
      <c r="P27" s="4"/>
      <c r="Q27" s="4"/>
      <c r="R27" s="4"/>
      <c r="S27" s="4"/>
      <c r="T27" s="4"/>
    </row>
    <row r="28" spans="13:20" x14ac:dyDescent="0.25">
      <c r="M28" s="4"/>
      <c r="N28" s="4"/>
      <c r="O28" s="4"/>
      <c r="P28" s="4"/>
      <c r="Q28" s="4"/>
      <c r="R28" s="4"/>
      <c r="S28" s="4"/>
      <c r="T28" s="4"/>
    </row>
    <row r="29" spans="13:20" x14ac:dyDescent="0.25">
      <c r="M29" s="4"/>
      <c r="N29" s="4"/>
      <c r="O29" s="4"/>
      <c r="P29" s="4"/>
      <c r="Q29" s="4"/>
      <c r="R29" s="4"/>
      <c r="S29" s="4"/>
      <c r="T29" s="4"/>
    </row>
    <row r="30" spans="13:20" x14ac:dyDescent="0.25">
      <c r="M30" s="4"/>
      <c r="N30" s="4"/>
      <c r="O30" s="4"/>
      <c r="P30" s="4"/>
      <c r="Q30" s="4"/>
      <c r="R30" s="4"/>
      <c r="S30" s="4"/>
      <c r="T30" s="4"/>
    </row>
    <row r="31" spans="13:20" x14ac:dyDescent="0.25">
      <c r="M31" s="4"/>
      <c r="N31" s="4"/>
      <c r="O31" s="4"/>
      <c r="P31" s="4"/>
      <c r="Q31" s="4"/>
      <c r="R31" s="4"/>
      <c r="S31" s="4"/>
      <c r="T31" s="4"/>
    </row>
  </sheetData>
  <mergeCells count="2">
    <mergeCell ref="A1:C1"/>
    <mergeCell ref="N13:S13"/>
  </mergeCells>
  <dataValidations count="1">
    <dataValidation type="list" allowBlank="1" showInputMessage="1" showErrorMessage="1" sqref="B2:B3" xr:uid="{E35DE71B-4AB2-4951-B2B7-05D0F7FC6E43}">
      <formula1>RHR</formula1>
    </dataValidation>
  </dataValidations>
  <hyperlinks>
    <hyperlink ref="E11" r:id="rId1" xr:uid="{6B7BCAE3-E80C-4F67-B52A-671CB93DE25D}"/>
  </hyperlinks>
  <pageMargins left="0.7" right="0.7" top="0.75" bottom="0.75" header="0.3" footer="0.3"/>
  <pageSetup orientation="portrait" horizontalDpi="1200" verticalDpi="12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0CA45-5A4A-4632-97DF-0643F837BECA}">
  <dimension ref="A1:AE29"/>
  <sheetViews>
    <sheetView topLeftCell="B1" zoomScaleNormal="100" workbookViewId="0">
      <selection activeCell="B24" sqref="B24"/>
    </sheetView>
  </sheetViews>
  <sheetFormatPr defaultRowHeight="15" x14ac:dyDescent="0.25"/>
  <cols>
    <col min="1" max="1" width="54.140625" customWidth="1"/>
    <col min="2" max="2" width="27.28515625" customWidth="1"/>
    <col min="3" max="3" width="6.85546875" customWidth="1"/>
    <col min="4" max="5" width="12.5703125" customWidth="1"/>
    <col min="6" max="6" width="31.42578125" customWidth="1"/>
    <col min="7" max="7" width="24.5703125" customWidth="1"/>
    <col min="8" max="11" width="13.28515625" customWidth="1"/>
    <col min="12" max="13" width="15.28515625" hidden="1" customWidth="1"/>
    <col min="14" max="14" width="14.42578125" hidden="1" customWidth="1"/>
    <col min="15" max="15" width="10.28515625" hidden="1" customWidth="1"/>
    <col min="16" max="16" width="9.140625" hidden="1" customWidth="1"/>
    <col min="17" max="17" width="13.42578125" customWidth="1"/>
    <col min="18" max="18" width="12.140625" customWidth="1"/>
    <col min="19" max="19" width="18.5703125" customWidth="1"/>
    <col min="20" max="23" width="5.7109375" customWidth="1"/>
    <col min="25" max="25" width="15.42578125" customWidth="1"/>
    <col min="26" max="26" width="12.5703125" customWidth="1"/>
    <col min="27" max="30" width="5.7109375" customWidth="1"/>
  </cols>
  <sheetData>
    <row r="1" spans="1:31" ht="36" customHeight="1" x14ac:dyDescent="0.35">
      <c r="A1" s="108" t="s">
        <v>39</v>
      </c>
      <c r="B1" s="108"/>
      <c r="C1" s="21"/>
      <c r="D1" s="21"/>
      <c r="E1" s="86"/>
      <c r="F1" s="30" t="s">
        <v>163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125" t="s">
        <v>147</v>
      </c>
      <c r="U1" s="125"/>
      <c r="V1" s="125"/>
      <c r="W1" s="125"/>
      <c r="X1" s="4"/>
      <c r="Y1" s="4"/>
      <c r="Z1" s="4"/>
      <c r="AA1" s="125" t="s">
        <v>147</v>
      </c>
      <c r="AB1" s="125"/>
      <c r="AC1" s="125"/>
      <c r="AD1" s="125"/>
      <c r="AE1" s="4"/>
    </row>
    <row r="2" spans="1:31" ht="15" customHeight="1" x14ac:dyDescent="0.25">
      <c r="A2" s="1" t="s">
        <v>191</v>
      </c>
      <c r="B2" s="2"/>
      <c r="E2" s="4"/>
      <c r="F2" s="4"/>
      <c r="G2" s="110" t="s">
        <v>147</v>
      </c>
      <c r="H2" s="111"/>
      <c r="I2" s="111"/>
      <c r="J2" s="111"/>
      <c r="K2" s="112"/>
      <c r="L2" s="4"/>
      <c r="M2" s="4"/>
      <c r="N2" s="4"/>
      <c r="O2" s="4"/>
      <c r="P2" s="4"/>
      <c r="Q2" s="31" t="s">
        <v>162</v>
      </c>
      <c r="R2" s="31" t="s">
        <v>161</v>
      </c>
      <c r="S2" s="32" t="s">
        <v>160</v>
      </c>
      <c r="T2" s="32">
        <v>1</v>
      </c>
      <c r="U2" s="32">
        <v>2</v>
      </c>
      <c r="V2" s="32">
        <v>3</v>
      </c>
      <c r="W2" s="32">
        <v>4</v>
      </c>
      <c r="X2" s="4"/>
      <c r="Y2" s="5">
        <f>B2</f>
        <v>0</v>
      </c>
      <c r="Z2" s="4"/>
      <c r="AA2" s="4">
        <v>1</v>
      </c>
      <c r="AB2" s="4">
        <v>2</v>
      </c>
      <c r="AC2" s="4">
        <v>3</v>
      </c>
      <c r="AD2" s="4">
        <v>4</v>
      </c>
      <c r="AE2" s="4"/>
    </row>
    <row r="3" spans="1:31" ht="15" customHeight="1" x14ac:dyDescent="0.25">
      <c r="A3" s="1" t="s">
        <v>192</v>
      </c>
      <c r="B3" s="2"/>
      <c r="E3" s="4"/>
      <c r="F3" s="28" t="s">
        <v>146</v>
      </c>
      <c r="G3" s="33" t="s">
        <v>145</v>
      </c>
      <c r="H3" s="33" t="s">
        <v>144</v>
      </c>
      <c r="I3" s="33" t="s">
        <v>143</v>
      </c>
      <c r="J3" s="33" t="s">
        <v>142</v>
      </c>
      <c r="K3" s="33" t="s">
        <v>141</v>
      </c>
      <c r="L3" s="4"/>
      <c r="M3" s="4"/>
      <c r="N3" s="4"/>
      <c r="O3" s="4"/>
      <c r="P3" s="4"/>
      <c r="Q3" s="117" t="s">
        <v>129</v>
      </c>
      <c r="R3" s="120" t="s">
        <v>128</v>
      </c>
      <c r="S3" s="34" t="s">
        <v>127</v>
      </c>
      <c r="T3" s="35">
        <f>H4</f>
        <v>0.56000000000000005</v>
      </c>
      <c r="U3" s="35">
        <f>I4</f>
        <v>0.31</v>
      </c>
      <c r="V3" s="36" t="s">
        <v>135</v>
      </c>
      <c r="W3" s="36" t="s">
        <v>135</v>
      </c>
      <c r="X3" s="4"/>
      <c r="Y3" s="124" t="s">
        <v>159</v>
      </c>
      <c r="Z3" s="37" t="s">
        <v>127</v>
      </c>
      <c r="AA3" s="38" cm="1">
        <f t="array" ref="AA3:AD6">IF(B2=Q3,T3:W6,IF(B2=Q7,T7:W10,T11:W14))</f>
        <v>0.67</v>
      </c>
      <c r="AB3" s="39">
        <v>0.45</v>
      </c>
      <c r="AC3" s="39" t="str">
        <v>---</v>
      </c>
      <c r="AD3" s="40" t="str">
        <v>---</v>
      </c>
      <c r="AE3" s="41"/>
    </row>
    <row r="4" spans="1:31" x14ac:dyDescent="0.25">
      <c r="A4" s="1" t="s">
        <v>193</v>
      </c>
      <c r="B4" s="2"/>
      <c r="E4" s="4"/>
      <c r="F4" s="37" t="s">
        <v>139</v>
      </c>
      <c r="G4" s="34" t="s">
        <v>158</v>
      </c>
      <c r="H4" s="42">
        <v>0.56000000000000005</v>
      </c>
      <c r="I4" s="42">
        <v>0.31</v>
      </c>
      <c r="J4" s="43" t="s">
        <v>135</v>
      </c>
      <c r="K4" s="44" t="s">
        <v>135</v>
      </c>
      <c r="L4" s="4"/>
      <c r="M4" s="4"/>
      <c r="N4" s="4"/>
      <c r="O4" s="4"/>
      <c r="P4" s="4"/>
      <c r="Q4" s="118"/>
      <c r="R4" s="121"/>
      <c r="S4" s="45" t="s">
        <v>124</v>
      </c>
      <c r="T4" s="36" t="s">
        <v>135</v>
      </c>
      <c r="U4" s="36" t="s">
        <v>135</v>
      </c>
      <c r="V4" s="36" t="s">
        <v>135</v>
      </c>
      <c r="W4" s="36" t="s">
        <v>135</v>
      </c>
      <c r="X4" s="4"/>
      <c r="Y4" s="124"/>
      <c r="Z4" s="37" t="s">
        <v>124</v>
      </c>
      <c r="AA4" s="38">
        <v>0.93</v>
      </c>
      <c r="AB4" s="39">
        <v>0.86</v>
      </c>
      <c r="AC4" s="46">
        <v>0.8</v>
      </c>
      <c r="AD4" s="40" t="str">
        <v>---</v>
      </c>
      <c r="AE4" s="4"/>
    </row>
    <row r="5" spans="1:31" x14ac:dyDescent="0.25">
      <c r="A5" s="1" t="str">
        <f>"Existing Number of" &amp; IF(OR($B$2="Rural Multilane Highway",$B$4="Stop Control")," Non-Stop Controlled","")&amp;  " Approaches with Left-Turn Lanes:"</f>
        <v>Existing Number of Approaches with Left-Turn Lanes:</v>
      </c>
      <c r="B5" s="20"/>
      <c r="E5" s="4"/>
      <c r="F5" s="113" t="s">
        <v>137</v>
      </c>
      <c r="G5" s="47" t="s">
        <v>158</v>
      </c>
      <c r="H5" s="48">
        <v>0.72</v>
      </c>
      <c r="I5" s="49">
        <v>0.52</v>
      </c>
      <c r="J5" s="50" t="s">
        <v>135</v>
      </c>
      <c r="K5" s="51" t="s">
        <v>135</v>
      </c>
      <c r="L5" s="4"/>
      <c r="M5" s="4"/>
      <c r="N5" s="4"/>
      <c r="O5" s="4"/>
      <c r="P5" s="4"/>
      <c r="Q5" s="118"/>
      <c r="R5" s="122" t="s">
        <v>125</v>
      </c>
      <c r="S5" s="47" t="s">
        <v>127</v>
      </c>
      <c r="T5" s="35">
        <f>H5</f>
        <v>0.72</v>
      </c>
      <c r="U5" s="35">
        <f>I5</f>
        <v>0.52</v>
      </c>
      <c r="V5" s="36" t="s">
        <v>135</v>
      </c>
      <c r="W5" s="36" t="s">
        <v>135</v>
      </c>
      <c r="X5" s="4"/>
      <c r="Y5" s="124" t="s">
        <v>157</v>
      </c>
      <c r="Z5" s="37" t="s">
        <v>127</v>
      </c>
      <c r="AA5" s="38">
        <v>0.73</v>
      </c>
      <c r="AB5" s="39">
        <v>0.53</v>
      </c>
      <c r="AC5" s="39" t="str">
        <v>---</v>
      </c>
      <c r="AD5" s="40" t="str">
        <v>---</v>
      </c>
      <c r="AE5" s="4"/>
    </row>
    <row r="6" spans="1:31" ht="15" customHeight="1" x14ac:dyDescent="0.25">
      <c r="A6" s="1" t="str">
        <f>"Proposed Number of" &amp; IF(OR($B$2="Rural Multilane Highway",$B$4="Stop Control")," Non-Stop Controlled","")&amp;  " Approaches with Left-Turn Lanes:"</f>
        <v>Proposed Number of Approaches with Left-Turn Lanes:</v>
      </c>
      <c r="B6" s="20"/>
      <c r="E6" s="4"/>
      <c r="F6" s="114"/>
      <c r="G6" s="45" t="s">
        <v>124</v>
      </c>
      <c r="H6" s="52">
        <v>0.82</v>
      </c>
      <c r="I6" s="53">
        <v>0.67</v>
      </c>
      <c r="J6" s="53">
        <v>0.55000000000000004</v>
      </c>
      <c r="K6" s="54">
        <v>0.45</v>
      </c>
      <c r="L6" s="4"/>
      <c r="M6" s="4"/>
      <c r="N6" s="4"/>
      <c r="O6" s="4"/>
      <c r="P6" s="4"/>
      <c r="Q6" s="119"/>
      <c r="R6" s="123"/>
      <c r="S6" s="45" t="s">
        <v>124</v>
      </c>
      <c r="T6" s="35">
        <f>H6</f>
        <v>0.82</v>
      </c>
      <c r="U6" s="35">
        <f>I6</f>
        <v>0.67</v>
      </c>
      <c r="V6" s="35">
        <f>J6</f>
        <v>0.55000000000000004</v>
      </c>
      <c r="W6" s="35">
        <f>K6</f>
        <v>0.45</v>
      </c>
      <c r="X6" s="4"/>
      <c r="Y6" s="124"/>
      <c r="Z6" s="37" t="s">
        <v>124</v>
      </c>
      <c r="AA6" s="55">
        <v>0.9</v>
      </c>
      <c r="AB6" s="39">
        <v>0.81</v>
      </c>
      <c r="AC6" s="39">
        <v>0.73</v>
      </c>
      <c r="AD6" s="40">
        <v>0.66</v>
      </c>
      <c r="AE6" s="4"/>
    </row>
    <row r="7" spans="1:31" ht="15" customHeight="1" x14ac:dyDescent="0.25"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17" t="s">
        <v>126</v>
      </c>
      <c r="R7" s="120" t="s">
        <v>128</v>
      </c>
      <c r="S7" s="47" t="s">
        <v>127</v>
      </c>
      <c r="T7" s="36">
        <f>H11</f>
        <v>0.45</v>
      </c>
      <c r="U7" s="36" t="s">
        <v>135</v>
      </c>
      <c r="V7" s="36" t="s">
        <v>135</v>
      </c>
      <c r="W7" s="36" t="s">
        <v>135</v>
      </c>
      <c r="X7" s="4"/>
      <c r="Y7" s="4"/>
      <c r="Z7" s="4"/>
      <c r="AA7" s="4"/>
      <c r="AB7" s="4"/>
      <c r="AC7" s="4"/>
      <c r="AD7" s="4"/>
      <c r="AE7" s="4"/>
    </row>
    <row r="8" spans="1:31" ht="15" customHeight="1" x14ac:dyDescent="0.25">
      <c r="A8" s="1" t="s">
        <v>30</v>
      </c>
      <c r="B8" s="19">
        <f>Z19</f>
        <v>1</v>
      </c>
      <c r="E8" s="4"/>
      <c r="F8" s="56" t="s">
        <v>156</v>
      </c>
      <c r="G8" s="4"/>
      <c r="H8" s="4"/>
      <c r="I8" s="4"/>
      <c r="J8" s="4"/>
      <c r="K8" s="4"/>
      <c r="L8" s="4"/>
      <c r="M8" s="4"/>
      <c r="N8" s="4"/>
      <c r="O8" s="4"/>
      <c r="P8" s="4"/>
      <c r="Q8" s="118"/>
      <c r="R8" s="121"/>
      <c r="S8" s="45" t="s">
        <v>124</v>
      </c>
      <c r="T8" s="36" t="s">
        <v>135</v>
      </c>
      <c r="U8" s="36" t="s">
        <v>135</v>
      </c>
      <c r="V8" s="36" t="s">
        <v>135</v>
      </c>
      <c r="W8" s="36" t="s">
        <v>135</v>
      </c>
      <c r="X8" s="4"/>
      <c r="Y8" s="5">
        <f>B3</f>
        <v>0</v>
      </c>
      <c r="Z8" s="4"/>
      <c r="AA8" s="4">
        <v>1</v>
      </c>
      <c r="AB8" s="4">
        <v>2</v>
      </c>
      <c r="AC8" s="4">
        <v>3</v>
      </c>
      <c r="AD8" s="4">
        <v>4</v>
      </c>
      <c r="AE8" s="4"/>
    </row>
    <row r="9" spans="1:31" ht="15" customHeight="1" x14ac:dyDescent="0.25">
      <c r="E9" s="4"/>
      <c r="F9" s="4"/>
      <c r="G9" s="4"/>
      <c r="H9" s="57" t="s">
        <v>155</v>
      </c>
      <c r="I9" s="58"/>
      <c r="J9" s="59"/>
      <c r="K9" s="4"/>
      <c r="L9" s="4"/>
      <c r="M9" s="4"/>
      <c r="N9" s="4"/>
      <c r="O9" s="4"/>
      <c r="P9" s="4"/>
      <c r="Q9" s="118"/>
      <c r="R9" s="122" t="s">
        <v>125</v>
      </c>
      <c r="S9" s="47" t="s">
        <v>127</v>
      </c>
      <c r="T9" s="35">
        <f>H12</f>
        <v>0.65</v>
      </c>
      <c r="U9" s="35">
        <f>I12</f>
        <v>0.42</v>
      </c>
      <c r="V9" s="36" t="s">
        <v>135</v>
      </c>
      <c r="W9" s="36" t="s">
        <v>135</v>
      </c>
      <c r="X9" s="4"/>
      <c r="Y9" s="4"/>
      <c r="Z9" s="60" t="s">
        <v>127</v>
      </c>
      <c r="AA9" s="61" cm="1">
        <f t="array" ref="AA9:AD10">IF(B3=R3,AA3:AD4,AA5:AD6)</f>
        <v>0.73</v>
      </c>
      <c r="AB9" s="62">
        <v>0.53</v>
      </c>
      <c r="AC9" s="62" t="str">
        <v>---</v>
      </c>
      <c r="AD9" s="63" t="str">
        <v>---</v>
      </c>
      <c r="AE9" s="4"/>
    </row>
    <row r="10" spans="1:31" x14ac:dyDescent="0.25">
      <c r="E10" s="4"/>
      <c r="F10" s="28" t="s">
        <v>146</v>
      </c>
      <c r="G10" s="64" t="s">
        <v>154</v>
      </c>
      <c r="H10" s="33" t="s">
        <v>153</v>
      </c>
      <c r="I10" s="33" t="s">
        <v>143</v>
      </c>
      <c r="J10" s="4"/>
      <c r="K10" s="4"/>
      <c r="L10" s="15"/>
      <c r="M10" s="4"/>
      <c r="N10" s="4"/>
      <c r="O10" s="4"/>
      <c r="P10" s="4"/>
      <c r="Q10" s="118"/>
      <c r="R10" s="123"/>
      <c r="S10" s="45" t="s">
        <v>124</v>
      </c>
      <c r="T10" s="36" t="s">
        <v>135</v>
      </c>
      <c r="U10" s="36" t="s">
        <v>135</v>
      </c>
      <c r="V10" s="36" t="s">
        <v>135</v>
      </c>
      <c r="W10" s="36" t="s">
        <v>135</v>
      </c>
      <c r="X10" s="4"/>
      <c r="Y10" s="4"/>
      <c r="Z10" s="65" t="s">
        <v>124</v>
      </c>
      <c r="AA10" s="66">
        <v>0.9</v>
      </c>
      <c r="AB10" s="67">
        <v>0.81</v>
      </c>
      <c r="AC10" s="68">
        <v>0.73</v>
      </c>
      <c r="AD10" s="69">
        <v>0.66</v>
      </c>
      <c r="AE10" s="4"/>
    </row>
    <row r="11" spans="1:31" ht="15" customHeight="1" x14ac:dyDescent="0.25">
      <c r="E11" s="4"/>
      <c r="F11" s="70" t="s">
        <v>152</v>
      </c>
      <c r="G11" s="34" t="s">
        <v>149</v>
      </c>
      <c r="H11" s="42">
        <v>0.45</v>
      </c>
      <c r="I11" s="44" t="s">
        <v>135</v>
      </c>
      <c r="J11" s="4"/>
      <c r="K11" s="4"/>
      <c r="L11" s="15"/>
      <c r="M11" s="4"/>
      <c r="N11" s="4"/>
      <c r="O11" s="4"/>
      <c r="P11" s="4"/>
      <c r="Q11" s="117" t="s">
        <v>151</v>
      </c>
      <c r="R11" s="120" t="s">
        <v>128</v>
      </c>
      <c r="S11" s="71" t="s">
        <v>127</v>
      </c>
      <c r="T11" s="35">
        <f t="shared" ref="T11:U14" si="0">H17</f>
        <v>0.67</v>
      </c>
      <c r="U11" s="35">
        <f t="shared" si="0"/>
        <v>0.45</v>
      </c>
      <c r="V11" s="36" t="s">
        <v>135</v>
      </c>
      <c r="W11" s="36" t="s">
        <v>135</v>
      </c>
      <c r="X11" s="4"/>
      <c r="Y11" s="4"/>
      <c r="Z11" s="4"/>
      <c r="AA11" s="4"/>
      <c r="AB11" s="4"/>
      <c r="AC11" s="4"/>
      <c r="AD11" s="4"/>
      <c r="AE11" s="4"/>
    </row>
    <row r="12" spans="1:31" x14ac:dyDescent="0.25">
      <c r="E12" s="4"/>
      <c r="F12" s="70" t="s">
        <v>150</v>
      </c>
      <c r="G12" s="34" t="s">
        <v>149</v>
      </c>
      <c r="H12" s="42">
        <v>0.65</v>
      </c>
      <c r="I12" s="72">
        <v>0.42</v>
      </c>
      <c r="J12" s="4"/>
      <c r="K12" s="4"/>
      <c r="L12" s="15"/>
      <c r="M12" s="4"/>
      <c r="N12" s="4"/>
      <c r="O12" s="4"/>
      <c r="P12" s="4"/>
      <c r="Q12" s="118"/>
      <c r="R12" s="121"/>
      <c r="S12" s="73" t="s">
        <v>124</v>
      </c>
      <c r="T12" s="35">
        <f t="shared" si="0"/>
        <v>0.93</v>
      </c>
      <c r="U12" s="35">
        <f t="shared" si="0"/>
        <v>0.86</v>
      </c>
      <c r="V12" s="74">
        <f>J18</f>
        <v>0.8</v>
      </c>
      <c r="W12" s="36" t="s">
        <v>135</v>
      </c>
      <c r="X12" s="4"/>
      <c r="Y12" s="5">
        <f>B4</f>
        <v>0</v>
      </c>
      <c r="Z12" s="4"/>
      <c r="AA12" s="4">
        <v>1</v>
      </c>
      <c r="AB12" s="4">
        <v>2</v>
      </c>
      <c r="AC12" s="4">
        <v>3</v>
      </c>
      <c r="AD12" s="4">
        <v>4</v>
      </c>
      <c r="AE12" s="4"/>
    </row>
    <row r="13" spans="1:31" x14ac:dyDescent="0.25"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118"/>
      <c r="R13" s="122" t="s">
        <v>125</v>
      </c>
      <c r="S13" s="47" t="s">
        <v>127</v>
      </c>
      <c r="T13" s="36">
        <f t="shared" si="0"/>
        <v>0.73</v>
      </c>
      <c r="U13" s="36">
        <f t="shared" si="0"/>
        <v>0.53</v>
      </c>
      <c r="V13" s="36" t="s">
        <v>135</v>
      </c>
      <c r="W13" s="36" t="s">
        <v>135</v>
      </c>
      <c r="X13" s="4"/>
      <c r="Y13" s="4"/>
      <c r="Z13" s="37" t="s">
        <v>73</v>
      </c>
      <c r="AA13" s="37" cm="1">
        <f t="array" ref="AA13:AD13">IF(B4=S3,AA9:AD9,IF(B4=S4,AA10:AD10,AA9:AD9))</f>
        <v>0.73</v>
      </c>
      <c r="AB13" s="75">
        <v>0.53</v>
      </c>
      <c r="AC13" s="76" t="str">
        <v>---</v>
      </c>
      <c r="AD13" s="77" t="str">
        <v>---</v>
      </c>
      <c r="AE13" s="4"/>
    </row>
    <row r="14" spans="1:31" s="17" customFormat="1" ht="15" customHeight="1" x14ac:dyDescent="0.25">
      <c r="E14" s="41"/>
      <c r="F14" s="56" t="s">
        <v>148</v>
      </c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119"/>
      <c r="R14" s="123"/>
      <c r="S14" s="45" t="s">
        <v>124</v>
      </c>
      <c r="T14" s="74">
        <f t="shared" si="0"/>
        <v>0.9</v>
      </c>
      <c r="U14" s="74">
        <f t="shared" si="0"/>
        <v>0.81</v>
      </c>
      <c r="V14" s="74">
        <f>J20</f>
        <v>0.73</v>
      </c>
      <c r="W14" s="74">
        <f>K20</f>
        <v>0.66</v>
      </c>
      <c r="X14" s="41"/>
      <c r="Y14" s="4"/>
      <c r="Z14" s="4"/>
      <c r="AA14" s="4"/>
      <c r="AB14" s="4"/>
      <c r="AC14" s="4"/>
      <c r="AD14" s="4"/>
      <c r="AE14" s="4"/>
    </row>
    <row r="15" spans="1:31" ht="15" customHeight="1" x14ac:dyDescent="0.25">
      <c r="E15" s="4"/>
      <c r="F15" s="4"/>
      <c r="G15" s="4"/>
      <c r="H15" s="110" t="s">
        <v>147</v>
      </c>
      <c r="I15" s="111"/>
      <c r="J15" s="111"/>
      <c r="K15" s="112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5" t="str">
        <f xml:space="preserve"> B6&amp; " approaches"</f>
        <v xml:space="preserve"> approaches</v>
      </c>
      <c r="Z15" s="4"/>
      <c r="AA15" s="4"/>
      <c r="AB15" s="4"/>
      <c r="AC15" s="4"/>
      <c r="AD15" s="4"/>
      <c r="AE15" s="4"/>
    </row>
    <row r="16" spans="1:31" x14ac:dyDescent="0.25">
      <c r="A16" s="16"/>
      <c r="E16" s="4"/>
      <c r="F16" s="28" t="s">
        <v>146</v>
      </c>
      <c r="G16" s="28" t="s">
        <v>145</v>
      </c>
      <c r="H16" s="33" t="s">
        <v>144</v>
      </c>
      <c r="I16" s="33" t="s">
        <v>143</v>
      </c>
      <c r="J16" s="33" t="s">
        <v>142</v>
      </c>
      <c r="K16" s="33" t="s">
        <v>141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7" t="s">
        <v>140</v>
      </c>
      <c r="Z16" s="70">
        <f>IF(B5=0,1,IF(B5=T2,AA13,IF(B5=U2,AB13,IF(B5=V2,AC13,AD13))))</f>
        <v>1</v>
      </c>
      <c r="AA16" s="4"/>
      <c r="AB16" s="4"/>
      <c r="AC16" s="4"/>
      <c r="AD16" s="4"/>
      <c r="AE16" s="4"/>
    </row>
    <row r="17" spans="5:31" x14ac:dyDescent="0.25">
      <c r="E17" s="4"/>
      <c r="F17" s="115" t="s">
        <v>139</v>
      </c>
      <c r="G17" s="78" t="s">
        <v>136</v>
      </c>
      <c r="H17" s="78">
        <v>0.67</v>
      </c>
      <c r="I17" s="78">
        <v>0.45</v>
      </c>
      <c r="J17" s="79" t="s">
        <v>135</v>
      </c>
      <c r="K17" s="79" t="s">
        <v>135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7" t="s">
        <v>138</v>
      </c>
      <c r="Z17" s="80">
        <f>IF(B6=0,1,IF(B6=T2,AA13,IF(B6=U2,AB13,IF(B6=V2,AC13,AD13))))</f>
        <v>1</v>
      </c>
      <c r="AA17" s="4"/>
      <c r="AB17" s="4"/>
      <c r="AC17" s="4"/>
      <c r="AD17" s="4"/>
      <c r="AE17" s="4"/>
    </row>
    <row r="18" spans="5:31" x14ac:dyDescent="0.25">
      <c r="E18" s="4"/>
      <c r="F18" s="116"/>
      <c r="G18" s="45" t="s">
        <v>124</v>
      </c>
      <c r="H18" s="45">
        <v>0.93</v>
      </c>
      <c r="I18" s="45">
        <v>0.86</v>
      </c>
      <c r="J18" s="81">
        <v>0.8</v>
      </c>
      <c r="K18" s="82" t="s">
        <v>135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5:31" x14ac:dyDescent="0.25">
      <c r="E19" s="4"/>
      <c r="F19" s="115" t="s">
        <v>137</v>
      </c>
      <c r="G19" s="78" t="s">
        <v>136</v>
      </c>
      <c r="H19" s="78">
        <v>0.73</v>
      </c>
      <c r="I19" s="78">
        <v>0.53</v>
      </c>
      <c r="J19" s="79" t="s">
        <v>135</v>
      </c>
      <c r="K19" s="79" t="s">
        <v>135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 t="s">
        <v>134</v>
      </c>
      <c r="Z19" s="80">
        <f>IFERROR(Z17/Z16, "No Benefit")</f>
        <v>1</v>
      </c>
      <c r="AA19" s="4"/>
      <c r="AB19" s="4"/>
      <c r="AC19" s="4"/>
      <c r="AD19" s="4"/>
      <c r="AE19" s="4"/>
    </row>
    <row r="20" spans="5:31" x14ac:dyDescent="0.25">
      <c r="E20" s="4"/>
      <c r="F20" s="116"/>
      <c r="G20" s="45" t="s">
        <v>124</v>
      </c>
      <c r="H20" s="81">
        <v>0.9</v>
      </c>
      <c r="I20" s="45">
        <v>0.81</v>
      </c>
      <c r="J20" s="45">
        <v>0.73</v>
      </c>
      <c r="K20" s="45">
        <v>0.66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5:31" x14ac:dyDescent="0.25"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5:31" x14ac:dyDescent="0.25">
      <c r="E22" s="4"/>
      <c r="F22" s="5" t="s">
        <v>133</v>
      </c>
      <c r="G22" s="5" t="s">
        <v>132</v>
      </c>
      <c r="H22" s="5" t="s">
        <v>131</v>
      </c>
      <c r="I22" s="5" t="s">
        <v>130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5:31" x14ac:dyDescent="0.25">
      <c r="E23" s="4"/>
      <c r="F23" s="4" t="s">
        <v>129</v>
      </c>
      <c r="G23" s="83" t="s">
        <v>128</v>
      </c>
      <c r="H23" s="4" t="s">
        <v>127</v>
      </c>
      <c r="I23" s="15">
        <v>0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spans="5:31" x14ac:dyDescent="0.25">
      <c r="E24" s="4"/>
      <c r="F24" s="4" t="s">
        <v>126</v>
      </c>
      <c r="G24" s="84" t="s">
        <v>125</v>
      </c>
      <c r="H24" s="4" t="s">
        <v>124</v>
      </c>
      <c r="I24" s="15">
        <v>1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spans="5:31" x14ac:dyDescent="0.25">
      <c r="E25" s="4"/>
      <c r="F25" s="4" t="s">
        <v>123</v>
      </c>
      <c r="G25" s="85"/>
      <c r="H25" s="4"/>
      <c r="I25" s="15">
        <v>2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spans="5:31" x14ac:dyDescent="0.25">
      <c r="E26" s="4"/>
      <c r="F26" s="4"/>
      <c r="G26" s="4"/>
      <c r="H26" s="4"/>
      <c r="I26" s="15">
        <v>3</v>
      </c>
      <c r="J26" s="85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5:31" x14ac:dyDescent="0.25">
      <c r="E27" s="4"/>
      <c r="F27" s="4"/>
      <c r="G27" s="4"/>
      <c r="H27" s="4"/>
      <c r="I27" s="15">
        <v>4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5:31" x14ac:dyDescent="0.25"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spans="5:31" x14ac:dyDescent="0.25"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</sheetData>
  <mergeCells count="19">
    <mergeCell ref="Y3:Y4"/>
    <mergeCell ref="Y5:Y6"/>
    <mergeCell ref="AA1:AD1"/>
    <mergeCell ref="R11:R12"/>
    <mergeCell ref="R13:R14"/>
    <mergeCell ref="R3:R4"/>
    <mergeCell ref="T1:W1"/>
    <mergeCell ref="Q3:Q6"/>
    <mergeCell ref="R7:R8"/>
    <mergeCell ref="R9:R10"/>
    <mergeCell ref="Q11:Q14"/>
    <mergeCell ref="Q7:Q10"/>
    <mergeCell ref="R5:R6"/>
    <mergeCell ref="A1:B1"/>
    <mergeCell ref="G2:K2"/>
    <mergeCell ref="F5:F6"/>
    <mergeCell ref="F19:F20"/>
    <mergeCell ref="F17:F18"/>
    <mergeCell ref="H15:K15"/>
  </mergeCells>
  <conditionalFormatting sqref="F10:F12">
    <cfRule type="duplicateValues" dxfId="0" priority="1"/>
  </conditionalFormatting>
  <dataValidations count="4">
    <dataValidation type="list" allowBlank="1" showInputMessage="1" showErrorMessage="1" sqref="B4" xr:uid="{45112FAB-B77E-4E90-9026-7CB75CEA7FA8}">
      <formula1>IF($B$2=$F$24,$H$23,$H$23:$H$24)</formula1>
    </dataValidation>
    <dataValidation type="list" allowBlank="1" showInputMessage="1" showErrorMessage="1" sqref="B5:B6" xr:uid="{3567491E-F990-486E-8192-4F16126E034A}">
      <formula1>$I$23:$I$27</formula1>
    </dataValidation>
    <dataValidation type="list" allowBlank="1" showInputMessage="1" showErrorMessage="1" sqref="B3" xr:uid="{156AD302-2E36-4469-AD4F-24384254E07D}">
      <formula1>$G$23:$G$24</formula1>
    </dataValidation>
    <dataValidation type="list" allowBlank="1" showInputMessage="1" showErrorMessage="1" sqref="B2" xr:uid="{D9B091B4-E416-4D8A-8949-1F0F70A9EBFB}">
      <formula1>$F$23:$F$25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E3603-0E3E-47ED-9150-C5619EF6EB3C}">
  <dimension ref="A1:AE35"/>
  <sheetViews>
    <sheetView topLeftCell="D1" zoomScale="115" zoomScaleNormal="115" workbookViewId="0">
      <selection activeCell="B5" sqref="B5"/>
    </sheetView>
  </sheetViews>
  <sheetFormatPr defaultRowHeight="15" x14ac:dyDescent="0.25"/>
  <cols>
    <col min="1" max="1" width="60.5703125" customWidth="1"/>
    <col min="2" max="2" width="24.140625" customWidth="1"/>
    <col min="3" max="3" width="7.140625" customWidth="1"/>
    <col min="4" max="4" width="25" customWidth="1"/>
    <col min="5" max="5" width="7.140625" customWidth="1"/>
    <col min="6" max="6" width="32.42578125" customWidth="1"/>
    <col min="7" max="7" width="31.85546875" customWidth="1"/>
    <col min="8" max="11" width="13.28515625" customWidth="1"/>
    <col min="13" max="14" width="0" hidden="1" customWidth="1"/>
    <col min="15" max="15" width="25.85546875" hidden="1" customWidth="1"/>
    <col min="16" max="16" width="12.7109375" hidden="1" customWidth="1"/>
    <col min="17" max="17" width="12.7109375" customWidth="1"/>
    <col min="19" max="19" width="20.140625" customWidth="1"/>
    <col min="20" max="23" width="5.7109375" customWidth="1"/>
    <col min="25" max="25" width="12.7109375" customWidth="1"/>
    <col min="26" max="26" width="13.7109375" customWidth="1"/>
    <col min="27" max="30" width="5.7109375" customWidth="1"/>
  </cols>
  <sheetData>
    <row r="1" spans="1:31" ht="33.75" customHeight="1" x14ac:dyDescent="0.35">
      <c r="A1" s="108" t="s">
        <v>39</v>
      </c>
      <c r="B1" s="108"/>
      <c r="C1" s="18"/>
      <c r="D1" s="18"/>
      <c r="E1" s="56"/>
      <c r="F1" s="87" t="s">
        <v>169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125" t="s">
        <v>165</v>
      </c>
      <c r="U1" s="125"/>
      <c r="V1" s="125"/>
      <c r="W1" s="125"/>
      <c r="X1" s="4"/>
      <c r="Y1" s="4"/>
      <c r="Z1" s="4"/>
      <c r="AA1" s="125" t="s">
        <v>165</v>
      </c>
      <c r="AB1" s="125"/>
      <c r="AC1" s="125"/>
      <c r="AD1" s="125"/>
      <c r="AE1" s="4"/>
    </row>
    <row r="2" spans="1:31" x14ac:dyDescent="0.25">
      <c r="A2" s="1" t="s">
        <v>191</v>
      </c>
      <c r="B2" s="2" t="s">
        <v>126</v>
      </c>
      <c r="E2" s="4"/>
      <c r="F2" s="4"/>
      <c r="G2" s="4"/>
      <c r="H2" s="110" t="s">
        <v>165</v>
      </c>
      <c r="I2" s="111"/>
      <c r="J2" s="111"/>
      <c r="K2" s="112"/>
      <c r="L2" s="4"/>
      <c r="M2" s="4"/>
      <c r="N2" s="4"/>
      <c r="O2" s="4"/>
      <c r="P2" s="4"/>
      <c r="Q2" s="32" t="s">
        <v>162</v>
      </c>
      <c r="R2" s="31" t="s">
        <v>161</v>
      </c>
      <c r="S2" s="32" t="s">
        <v>160</v>
      </c>
      <c r="T2" s="32">
        <v>1</v>
      </c>
      <c r="U2" s="32">
        <v>2</v>
      </c>
      <c r="V2" s="32">
        <v>3</v>
      </c>
      <c r="W2" s="32">
        <v>4</v>
      </c>
      <c r="X2" s="4"/>
      <c r="Y2" s="5" t="str">
        <f>B2</f>
        <v>Rural Multilane Highway</v>
      </c>
      <c r="Z2" s="4"/>
      <c r="AA2" s="5">
        <v>1</v>
      </c>
      <c r="AB2" s="5">
        <v>2</v>
      </c>
      <c r="AC2" s="5">
        <v>3</v>
      </c>
      <c r="AD2" s="5">
        <v>4</v>
      </c>
      <c r="AE2" s="4"/>
    </row>
    <row r="3" spans="1:31" ht="15" customHeight="1" x14ac:dyDescent="0.25">
      <c r="A3" s="1" t="s">
        <v>192</v>
      </c>
      <c r="B3" s="2" t="s">
        <v>128</v>
      </c>
      <c r="E3" s="4"/>
      <c r="F3" s="28" t="s">
        <v>146</v>
      </c>
      <c r="G3" s="28" t="s">
        <v>145</v>
      </c>
      <c r="H3" s="33" t="s">
        <v>144</v>
      </c>
      <c r="I3" s="33" t="s">
        <v>143</v>
      </c>
      <c r="J3" s="33" t="s">
        <v>142</v>
      </c>
      <c r="K3" s="33" t="s">
        <v>141</v>
      </c>
      <c r="L3" s="4"/>
      <c r="M3" s="4"/>
      <c r="N3" s="4"/>
      <c r="O3" s="4"/>
      <c r="P3" s="4"/>
      <c r="Q3" s="117" t="s">
        <v>129</v>
      </c>
      <c r="R3" s="120" t="s">
        <v>128</v>
      </c>
      <c r="S3" s="78" t="s">
        <v>127</v>
      </c>
      <c r="T3" s="88">
        <f>H4</f>
        <v>0.86</v>
      </c>
      <c r="U3" s="88">
        <f>I4</f>
        <v>0.74</v>
      </c>
      <c r="V3" s="89" t="s">
        <v>135</v>
      </c>
      <c r="W3" s="89" t="s">
        <v>135</v>
      </c>
      <c r="X3" s="4"/>
      <c r="Y3" s="124" t="s">
        <v>159</v>
      </c>
      <c r="Z3" s="37" t="s">
        <v>127</v>
      </c>
      <c r="AA3" s="90" cm="1">
        <f t="array" ref="AA3:AD6">IF(B2=Q3,T3:W6,IF(B2=Q7,T7:W10,T11:W14))</f>
        <v>0.77</v>
      </c>
      <c r="AB3" s="91" t="str">
        <v>---</v>
      </c>
      <c r="AC3" s="62" t="str">
        <v>---</v>
      </c>
      <c r="AD3" s="63" t="str">
        <v>---</v>
      </c>
      <c r="AE3" s="4"/>
    </row>
    <row r="4" spans="1:31" x14ac:dyDescent="0.25">
      <c r="A4" s="1" t="s">
        <v>193</v>
      </c>
      <c r="B4" s="2" t="s">
        <v>127</v>
      </c>
      <c r="E4" s="4"/>
      <c r="F4" s="70" t="s">
        <v>139</v>
      </c>
      <c r="G4" s="70" t="s">
        <v>158</v>
      </c>
      <c r="H4" s="34">
        <v>0.86</v>
      </c>
      <c r="I4" s="34">
        <v>0.74</v>
      </c>
      <c r="J4" s="92" t="s">
        <v>135</v>
      </c>
      <c r="K4" s="92" t="s">
        <v>135</v>
      </c>
      <c r="L4" s="4"/>
      <c r="M4" s="4"/>
      <c r="N4" s="4"/>
      <c r="O4" s="4"/>
      <c r="P4" s="4"/>
      <c r="Q4" s="118"/>
      <c r="R4" s="121"/>
      <c r="S4" s="45" t="s">
        <v>124</v>
      </c>
      <c r="T4" s="89" t="s">
        <v>135</v>
      </c>
      <c r="U4" s="89" t="s">
        <v>135</v>
      </c>
      <c r="V4" s="89" t="s">
        <v>135</v>
      </c>
      <c r="W4" s="89" t="s">
        <v>135</v>
      </c>
      <c r="X4" s="4"/>
      <c r="Y4" s="124"/>
      <c r="Z4" s="37" t="s">
        <v>124</v>
      </c>
      <c r="AA4" s="93" t="str">
        <v>---</v>
      </c>
      <c r="AB4" s="94" t="str">
        <v>---</v>
      </c>
      <c r="AC4" s="67" t="str">
        <v>---</v>
      </c>
      <c r="AD4" s="69" t="str">
        <v>---</v>
      </c>
      <c r="AE4" s="4"/>
    </row>
    <row r="5" spans="1:31" x14ac:dyDescent="0.25">
      <c r="A5" s="1" t="str">
        <f>"Existing Number of" &amp; IF(OR($B$2="Rural Multilane Highway",$B$4="Stop Control")," Non-Stop Controlled","")&amp;  " Approaches with Right-Turn Lanes:"</f>
        <v>Existing Number of Non-Stop Controlled Approaches with Right-Turn Lanes:</v>
      </c>
      <c r="B5" s="20"/>
      <c r="E5" s="4"/>
      <c r="F5" s="126" t="s">
        <v>137</v>
      </c>
      <c r="G5" s="95" t="s">
        <v>158</v>
      </c>
      <c r="H5" s="47">
        <v>0.86</v>
      </c>
      <c r="I5" s="47">
        <v>0.74</v>
      </c>
      <c r="J5" s="96" t="s">
        <v>135</v>
      </c>
      <c r="K5" s="96" t="s">
        <v>135</v>
      </c>
      <c r="L5" s="4"/>
      <c r="M5" s="4"/>
      <c r="N5" s="4"/>
      <c r="O5" s="4"/>
      <c r="P5" s="4"/>
      <c r="Q5" s="118"/>
      <c r="R5" s="122" t="s">
        <v>125</v>
      </c>
      <c r="S5" s="47" t="s">
        <v>127</v>
      </c>
      <c r="T5" s="71">
        <f>H5</f>
        <v>0.86</v>
      </c>
      <c r="U5" s="71">
        <f>I5</f>
        <v>0.74</v>
      </c>
      <c r="V5" s="89" t="s">
        <v>135</v>
      </c>
      <c r="W5" s="89" t="s">
        <v>135</v>
      </c>
      <c r="X5" s="4"/>
      <c r="Y5" s="124" t="s">
        <v>157</v>
      </c>
      <c r="Z5" s="37" t="s">
        <v>127</v>
      </c>
      <c r="AA5" s="90">
        <v>0.77</v>
      </c>
      <c r="AB5" s="91">
        <v>0.59</v>
      </c>
      <c r="AC5" s="62" t="str">
        <v>---</v>
      </c>
      <c r="AD5" s="63" t="str">
        <v>---</v>
      </c>
      <c r="AE5" s="4"/>
    </row>
    <row r="6" spans="1:31" ht="15" customHeight="1" x14ac:dyDescent="0.25">
      <c r="A6" s="1" t="str">
        <f>"Proposed Number of" &amp; IF(OR($B$2="Rural Multilane Highway",$B$4="Stop Control")," Non-Stop Controlled","")&amp;  " Approaches with Right-Turn Lanes:"</f>
        <v>Proposed Number of Non-Stop Controlled Approaches with Right-Turn Lanes:</v>
      </c>
      <c r="B6" s="20"/>
      <c r="E6" s="4"/>
      <c r="F6" s="116"/>
      <c r="G6" s="65" t="s">
        <v>124</v>
      </c>
      <c r="H6" s="45">
        <v>0.96</v>
      </c>
      <c r="I6" s="45">
        <v>0.92</v>
      </c>
      <c r="J6" s="45">
        <v>0.88</v>
      </c>
      <c r="K6" s="45">
        <v>0.85</v>
      </c>
      <c r="L6" s="4"/>
      <c r="M6" s="4"/>
      <c r="N6" s="4"/>
      <c r="O6" s="4"/>
      <c r="P6" s="4"/>
      <c r="Q6" s="118"/>
      <c r="R6" s="123"/>
      <c r="S6" s="45" t="s">
        <v>124</v>
      </c>
      <c r="T6" s="73">
        <f>H6</f>
        <v>0.96</v>
      </c>
      <c r="U6" s="73">
        <f>I6</f>
        <v>0.92</v>
      </c>
      <c r="V6" s="73">
        <f>J6</f>
        <v>0.88</v>
      </c>
      <c r="W6" s="73">
        <f>K6</f>
        <v>0.85</v>
      </c>
      <c r="X6" s="4"/>
      <c r="Y6" s="124"/>
      <c r="Z6" s="37" t="s">
        <v>124</v>
      </c>
      <c r="AA6" s="93" t="str">
        <v>---</v>
      </c>
      <c r="AB6" s="94" t="str">
        <v>---</v>
      </c>
      <c r="AC6" s="94" t="str">
        <v>---</v>
      </c>
      <c r="AD6" s="97" t="str">
        <v>---</v>
      </c>
      <c r="AE6" s="4"/>
    </row>
    <row r="7" spans="1:31" x14ac:dyDescent="0.25"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17" t="s">
        <v>126</v>
      </c>
      <c r="R7" s="120" t="s">
        <v>128</v>
      </c>
      <c r="S7" s="47" t="s">
        <v>127</v>
      </c>
      <c r="T7" s="98">
        <f>H11</f>
        <v>0.77</v>
      </c>
      <c r="U7" s="89" t="s">
        <v>135</v>
      </c>
      <c r="V7" s="89" t="s">
        <v>135</v>
      </c>
      <c r="W7" s="89" t="s">
        <v>135</v>
      </c>
      <c r="X7" s="4"/>
      <c r="Y7" s="4"/>
      <c r="Z7" s="4"/>
      <c r="AA7" s="4"/>
      <c r="AB7" s="4"/>
      <c r="AC7" s="4"/>
      <c r="AD7" s="4"/>
      <c r="AE7" s="4"/>
    </row>
    <row r="8" spans="1:31" s="17" customFormat="1" ht="15" customHeight="1" x14ac:dyDescent="0.25">
      <c r="A8" s="1" t="s">
        <v>30</v>
      </c>
      <c r="B8" s="19">
        <f>Z19</f>
        <v>1</v>
      </c>
      <c r="E8" s="41"/>
      <c r="F8" s="56" t="s">
        <v>168</v>
      </c>
      <c r="G8" s="41"/>
      <c r="H8" s="41"/>
      <c r="I8" s="41"/>
      <c r="J8" s="41"/>
      <c r="K8" s="41"/>
      <c r="L8" s="41"/>
      <c r="M8" s="41"/>
      <c r="N8" s="41"/>
      <c r="O8" s="41"/>
      <c r="P8" s="41"/>
      <c r="Q8" s="118"/>
      <c r="R8" s="121"/>
      <c r="S8" s="45" t="s">
        <v>124</v>
      </c>
      <c r="T8" s="89" t="s">
        <v>135</v>
      </c>
      <c r="U8" s="89" t="s">
        <v>135</v>
      </c>
      <c r="V8" s="89" t="s">
        <v>135</v>
      </c>
      <c r="W8" s="89" t="s">
        <v>135</v>
      </c>
      <c r="X8" s="41"/>
      <c r="Y8" s="5" t="str">
        <f>B3</f>
        <v>Three-Leg</v>
      </c>
      <c r="Z8" s="4"/>
      <c r="AA8" s="4"/>
      <c r="AB8" s="4"/>
      <c r="AC8" s="4"/>
      <c r="AD8" s="4"/>
      <c r="AE8" s="41"/>
    </row>
    <row r="9" spans="1:31" ht="15" customHeight="1" x14ac:dyDescent="0.25">
      <c r="E9" s="4"/>
      <c r="F9" s="94"/>
      <c r="G9" s="4"/>
      <c r="H9" s="99" t="s">
        <v>167</v>
      </c>
      <c r="I9" s="100"/>
      <c r="J9" s="101"/>
      <c r="K9" s="101"/>
      <c r="L9" s="5"/>
      <c r="M9" s="4"/>
      <c r="N9" s="4"/>
      <c r="O9" s="4"/>
      <c r="P9" s="4"/>
      <c r="Q9" s="118"/>
      <c r="R9" s="127" t="s">
        <v>125</v>
      </c>
      <c r="S9" s="47" t="s">
        <v>127</v>
      </c>
      <c r="T9" s="98">
        <f>H12</f>
        <v>0.77</v>
      </c>
      <c r="U9" s="98">
        <f>I12</f>
        <v>0.59</v>
      </c>
      <c r="V9" s="89" t="s">
        <v>135</v>
      </c>
      <c r="W9" s="89" t="s">
        <v>135</v>
      </c>
      <c r="X9" s="4"/>
      <c r="Y9" s="70"/>
      <c r="Z9" s="60" t="s">
        <v>127</v>
      </c>
      <c r="AA9" s="61" cm="1">
        <f t="array" ref="AA9:AD10">IF(B3=R3,AA3:AD4,AA5:AD6)</f>
        <v>0.77</v>
      </c>
      <c r="AB9" s="62" t="str">
        <v>---</v>
      </c>
      <c r="AC9" s="62" t="str">
        <v>---</v>
      </c>
      <c r="AD9" s="63" t="str">
        <v>---</v>
      </c>
      <c r="AE9" s="4"/>
    </row>
    <row r="10" spans="1:31" x14ac:dyDescent="0.25">
      <c r="E10" s="4"/>
      <c r="F10" s="28" t="s">
        <v>146</v>
      </c>
      <c r="G10" s="28" t="s">
        <v>154</v>
      </c>
      <c r="H10" s="33" t="s">
        <v>153</v>
      </c>
      <c r="I10" s="33" t="s">
        <v>143</v>
      </c>
      <c r="J10" s="102"/>
      <c r="K10" s="4"/>
      <c r="L10" s="4"/>
      <c r="M10" s="4"/>
      <c r="N10" s="4"/>
      <c r="O10" s="4"/>
      <c r="P10" s="4"/>
      <c r="Q10" s="119"/>
      <c r="R10" s="123"/>
      <c r="S10" s="45" t="s">
        <v>124</v>
      </c>
      <c r="T10" s="89" t="s">
        <v>135</v>
      </c>
      <c r="U10" s="89" t="s">
        <v>135</v>
      </c>
      <c r="V10" s="89" t="s">
        <v>135</v>
      </c>
      <c r="W10" s="89" t="s">
        <v>135</v>
      </c>
      <c r="X10" s="4"/>
      <c r="Y10" s="70"/>
      <c r="Z10" s="65" t="s">
        <v>124</v>
      </c>
      <c r="AA10" s="66" t="str">
        <v>---</v>
      </c>
      <c r="AB10" s="67" t="str">
        <v>---</v>
      </c>
      <c r="AC10" s="67" t="str">
        <v>---</v>
      </c>
      <c r="AD10" s="69" t="str">
        <v>---</v>
      </c>
      <c r="AE10" s="4"/>
    </row>
    <row r="11" spans="1:31" ht="15" customHeight="1" x14ac:dyDescent="0.25">
      <c r="E11" s="4"/>
      <c r="F11" s="70" t="s">
        <v>152</v>
      </c>
      <c r="G11" s="70" t="s">
        <v>149</v>
      </c>
      <c r="H11" s="34">
        <v>0.77</v>
      </c>
      <c r="I11" s="92" t="s">
        <v>135</v>
      </c>
      <c r="J11" s="102"/>
      <c r="K11" s="4"/>
      <c r="L11" s="4"/>
      <c r="M11" s="4"/>
      <c r="N11" s="4"/>
      <c r="O11" s="4"/>
      <c r="P11" s="4"/>
      <c r="Q11" s="117" t="s">
        <v>151</v>
      </c>
      <c r="R11" s="120" t="s">
        <v>128</v>
      </c>
      <c r="S11" s="71" t="s">
        <v>127</v>
      </c>
      <c r="T11" s="71">
        <f t="shared" ref="T11:U14" si="0">H17</f>
        <v>0.86</v>
      </c>
      <c r="U11" s="71">
        <f t="shared" si="0"/>
        <v>0.74</v>
      </c>
      <c r="V11" s="89" t="s">
        <v>135</v>
      </c>
      <c r="W11" s="89" t="s">
        <v>135</v>
      </c>
      <c r="X11" s="4"/>
      <c r="Y11" s="4"/>
      <c r="Z11" s="4"/>
      <c r="AA11" s="4"/>
      <c r="AB11" s="4"/>
      <c r="AC11" s="4"/>
      <c r="AD11" s="4"/>
      <c r="AE11" s="4"/>
    </row>
    <row r="12" spans="1:31" x14ac:dyDescent="0.25">
      <c r="E12" s="4"/>
      <c r="F12" s="65" t="s">
        <v>150</v>
      </c>
      <c r="G12" s="65" t="s">
        <v>149</v>
      </c>
      <c r="H12" s="45">
        <v>0.77</v>
      </c>
      <c r="I12" s="45">
        <v>0.59</v>
      </c>
      <c r="J12" s="102"/>
      <c r="K12" s="4"/>
      <c r="L12" s="4"/>
      <c r="M12" s="4"/>
      <c r="N12" s="4"/>
      <c r="O12" s="4"/>
      <c r="P12" s="4"/>
      <c r="Q12" s="118"/>
      <c r="R12" s="121"/>
      <c r="S12" s="73" t="s">
        <v>124</v>
      </c>
      <c r="T12" s="73">
        <f t="shared" si="0"/>
        <v>0.96</v>
      </c>
      <c r="U12" s="73">
        <f t="shared" si="0"/>
        <v>0.92</v>
      </c>
      <c r="V12" s="89" t="s">
        <v>135</v>
      </c>
      <c r="W12" s="89" t="s">
        <v>135</v>
      </c>
      <c r="X12" s="4"/>
      <c r="Y12" s="5" t="str">
        <f>B4</f>
        <v>Stop Control</v>
      </c>
      <c r="Z12" s="4"/>
      <c r="AA12" s="4">
        <v>1</v>
      </c>
      <c r="AB12" s="4">
        <v>2</v>
      </c>
      <c r="AC12" s="4">
        <v>3</v>
      </c>
      <c r="AD12" s="4">
        <v>4</v>
      </c>
      <c r="AE12" s="4"/>
    </row>
    <row r="13" spans="1:31" ht="15" customHeight="1" x14ac:dyDescent="0.25"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118"/>
      <c r="R13" s="122" t="s">
        <v>125</v>
      </c>
      <c r="S13" s="71" t="s">
        <v>127</v>
      </c>
      <c r="T13" s="89">
        <f t="shared" si="0"/>
        <v>0.86</v>
      </c>
      <c r="U13" s="89">
        <f t="shared" si="0"/>
        <v>0.74</v>
      </c>
      <c r="V13" s="89" t="s">
        <v>135</v>
      </c>
      <c r="W13" s="89" t="s">
        <v>135</v>
      </c>
      <c r="X13" s="4"/>
      <c r="Y13" s="4"/>
      <c r="Z13" s="37" t="s">
        <v>73</v>
      </c>
      <c r="AA13" s="37" cm="1">
        <f t="array" ref="AA13:AD13">IF(B4=S3,AA9:AD9,IF(B4=S4,AA10:AD10,AA9:AD9))</f>
        <v>0.77</v>
      </c>
      <c r="AB13" s="75" t="str">
        <v>---</v>
      </c>
      <c r="AC13" s="76" t="str">
        <v>---</v>
      </c>
      <c r="AD13" s="77" t="str">
        <v>---</v>
      </c>
      <c r="AE13" s="4"/>
    </row>
    <row r="14" spans="1:31" ht="15" customHeight="1" x14ac:dyDescent="0.3">
      <c r="E14" s="4"/>
      <c r="F14" s="87" t="s">
        <v>166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119"/>
      <c r="R14" s="123"/>
      <c r="S14" s="73" t="s">
        <v>124</v>
      </c>
      <c r="T14" s="73">
        <f t="shared" si="0"/>
        <v>0.96</v>
      </c>
      <c r="U14" s="73">
        <f t="shared" si="0"/>
        <v>0.92</v>
      </c>
      <c r="V14" s="73">
        <f>J20</f>
        <v>0.88</v>
      </c>
      <c r="W14" s="73">
        <f>K20</f>
        <v>0.85</v>
      </c>
      <c r="X14" s="4"/>
      <c r="Y14" s="4"/>
      <c r="Z14" s="4"/>
      <c r="AA14" s="4"/>
      <c r="AB14" s="4"/>
      <c r="AC14" s="4"/>
      <c r="AD14" s="4"/>
      <c r="AE14" s="4"/>
    </row>
    <row r="15" spans="1:31" ht="15" customHeight="1" x14ac:dyDescent="0.25">
      <c r="E15" s="4"/>
      <c r="F15" s="4"/>
      <c r="G15" s="4"/>
      <c r="H15" s="109" t="s">
        <v>165</v>
      </c>
      <c r="I15" s="109"/>
      <c r="J15" s="109"/>
      <c r="K15" s="109"/>
      <c r="L15" s="4"/>
      <c r="M15" s="4"/>
      <c r="N15" s="4"/>
      <c r="O15" s="4"/>
      <c r="P15" s="4"/>
      <c r="Q15" s="103"/>
      <c r="R15" s="4"/>
      <c r="S15" s="4"/>
      <c r="T15" s="4"/>
      <c r="U15" s="4"/>
      <c r="V15" s="4"/>
      <c r="W15" s="4"/>
      <c r="X15" s="4"/>
      <c r="Y15" s="5" t="str">
        <f xml:space="preserve"> B6&amp; " Approaches"</f>
        <v xml:space="preserve"> Approaches</v>
      </c>
      <c r="Z15" s="4"/>
      <c r="AA15" s="4"/>
      <c r="AB15" s="4"/>
      <c r="AC15" s="4"/>
      <c r="AD15" s="4"/>
      <c r="AE15" s="4"/>
    </row>
    <row r="16" spans="1:31" x14ac:dyDescent="0.25">
      <c r="A16" s="16"/>
      <c r="E16" s="4"/>
      <c r="F16" s="28" t="s">
        <v>146</v>
      </c>
      <c r="G16" s="28" t="s">
        <v>164</v>
      </c>
      <c r="H16" s="33" t="s">
        <v>144</v>
      </c>
      <c r="I16" s="33" t="s">
        <v>143</v>
      </c>
      <c r="J16" s="33" t="s">
        <v>142</v>
      </c>
      <c r="K16" s="33" t="s">
        <v>141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7" t="s">
        <v>140</v>
      </c>
      <c r="Z16" s="70">
        <f>IF(B5=0,1,IF(B5=T2,AA13,IF(B5=U2,AB13,IF(B5=V2,AC13,AD13))))</f>
        <v>1</v>
      </c>
      <c r="AA16" s="4"/>
      <c r="AB16" s="4"/>
      <c r="AC16" s="4"/>
      <c r="AD16" s="4"/>
      <c r="AE16" s="4"/>
    </row>
    <row r="17" spans="1:31" ht="15" customHeight="1" x14ac:dyDescent="0.25">
      <c r="A17" s="16"/>
      <c r="E17" s="4"/>
      <c r="F17" s="115" t="s">
        <v>139</v>
      </c>
      <c r="G17" s="60" t="s">
        <v>158</v>
      </c>
      <c r="H17" s="78">
        <v>0.86</v>
      </c>
      <c r="I17" s="78">
        <v>0.74</v>
      </c>
      <c r="J17" s="79" t="s">
        <v>135</v>
      </c>
      <c r="K17" s="79" t="s">
        <v>135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7" t="s">
        <v>138</v>
      </c>
      <c r="Z17" s="80">
        <f>IF(B6=0,1,IF(B6=T2,AA13,IF(B6=U2,AB13,IF(B6=V2,AC13,AD13))))</f>
        <v>1</v>
      </c>
      <c r="AA17" s="4"/>
      <c r="AB17" s="4"/>
      <c r="AC17" s="4"/>
      <c r="AD17" s="4"/>
      <c r="AE17" s="4"/>
    </row>
    <row r="18" spans="1:31" x14ac:dyDescent="0.25">
      <c r="A18" s="16"/>
      <c r="E18" s="4"/>
      <c r="F18" s="116"/>
      <c r="G18" s="65" t="s">
        <v>124</v>
      </c>
      <c r="H18" s="45">
        <v>0.96</v>
      </c>
      <c r="I18" s="45">
        <v>0.92</v>
      </c>
      <c r="J18" s="82" t="s">
        <v>135</v>
      </c>
      <c r="K18" s="82" t="s">
        <v>135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x14ac:dyDescent="0.25">
      <c r="E19" s="4"/>
      <c r="F19" s="126" t="s">
        <v>137</v>
      </c>
      <c r="G19" s="95" t="s">
        <v>158</v>
      </c>
      <c r="H19" s="47">
        <v>0.86</v>
      </c>
      <c r="I19" s="47">
        <v>0.74</v>
      </c>
      <c r="J19" s="96" t="s">
        <v>135</v>
      </c>
      <c r="K19" s="96" t="s">
        <v>135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 t="s">
        <v>134</v>
      </c>
      <c r="Z19" s="80">
        <f>IFERROR(Z17/Z16, "No Benefit")</f>
        <v>1</v>
      </c>
      <c r="AA19" s="4"/>
      <c r="AB19" s="4"/>
      <c r="AC19" s="4"/>
      <c r="AD19" s="4"/>
      <c r="AE19" s="4"/>
    </row>
    <row r="20" spans="1:31" ht="15" customHeight="1" x14ac:dyDescent="0.25">
      <c r="E20" s="4"/>
      <c r="F20" s="116"/>
      <c r="G20" s="65" t="s">
        <v>124</v>
      </c>
      <c r="H20" s="45">
        <v>0.96</v>
      </c>
      <c r="I20" s="45">
        <v>0.92</v>
      </c>
      <c r="J20" s="82">
        <v>0.88</v>
      </c>
      <c r="K20" s="82">
        <v>0.85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104"/>
      <c r="AB20" s="104"/>
      <c r="AC20" s="104"/>
      <c r="AD20" s="104"/>
      <c r="AE20" s="4"/>
    </row>
    <row r="21" spans="1:31" x14ac:dyDescent="0.25"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5"/>
      <c r="Z21" s="4"/>
      <c r="AA21" s="4"/>
      <c r="AB21" s="4"/>
      <c r="AC21" s="4"/>
      <c r="AD21" s="4"/>
      <c r="AE21" s="4"/>
    </row>
    <row r="22" spans="1:31" ht="15" customHeight="1" x14ac:dyDescent="0.25">
      <c r="E22" s="4"/>
      <c r="F22" s="5" t="s">
        <v>133</v>
      </c>
      <c r="G22" s="5" t="s">
        <v>132</v>
      </c>
      <c r="H22" s="5" t="s">
        <v>131</v>
      </c>
      <c r="I22" s="5" t="s">
        <v>130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1"/>
      <c r="Z22" s="4"/>
      <c r="AA22" s="7"/>
      <c r="AB22" s="7"/>
      <c r="AC22" s="7"/>
      <c r="AD22" s="7"/>
      <c r="AE22" s="4"/>
    </row>
    <row r="23" spans="1:31" x14ac:dyDescent="0.25">
      <c r="E23" s="4"/>
      <c r="F23" s="4" t="s">
        <v>129</v>
      </c>
      <c r="G23" s="83" t="s">
        <v>128</v>
      </c>
      <c r="H23" s="4" t="s">
        <v>127</v>
      </c>
      <c r="I23" s="15">
        <v>0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1"/>
      <c r="Z23" s="4"/>
      <c r="AA23" s="7"/>
      <c r="AB23" s="7"/>
      <c r="AC23" s="7"/>
      <c r="AD23" s="7"/>
      <c r="AE23" s="4"/>
    </row>
    <row r="24" spans="1:31" x14ac:dyDescent="0.25">
      <c r="E24" s="4"/>
      <c r="F24" s="4" t="s">
        <v>126</v>
      </c>
      <c r="G24" s="84" t="s">
        <v>125</v>
      </c>
      <c r="H24" s="4" t="s">
        <v>124</v>
      </c>
      <c r="I24" s="15">
        <v>1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1"/>
      <c r="Z24" s="4"/>
      <c r="AA24" s="7"/>
      <c r="AB24" s="7"/>
      <c r="AC24" s="7"/>
      <c r="AD24" s="7"/>
      <c r="AE24" s="4"/>
    </row>
    <row r="25" spans="1:31" x14ac:dyDescent="0.25">
      <c r="E25" s="4"/>
      <c r="F25" s="4" t="s">
        <v>123</v>
      </c>
      <c r="G25" s="85"/>
      <c r="H25" s="4"/>
      <c r="I25" s="15">
        <v>2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1"/>
      <c r="Z25" s="4"/>
      <c r="AA25" s="7"/>
      <c r="AB25" s="7"/>
      <c r="AC25" s="7"/>
      <c r="AD25" s="7"/>
      <c r="AE25" s="4"/>
    </row>
    <row r="26" spans="1:31" x14ac:dyDescent="0.25">
      <c r="E26" s="4"/>
      <c r="F26" s="4"/>
      <c r="G26" s="4"/>
      <c r="H26" s="4"/>
      <c r="I26" s="15">
        <v>3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x14ac:dyDescent="0.25">
      <c r="E27" s="4"/>
      <c r="F27" s="4"/>
      <c r="G27" s="4"/>
      <c r="H27" s="4"/>
      <c r="I27" s="15">
        <v>4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5"/>
      <c r="Z27" s="4"/>
      <c r="AA27" s="4"/>
      <c r="AB27" s="4"/>
      <c r="AC27" s="4"/>
      <c r="AD27" s="4"/>
      <c r="AE27" s="4"/>
    </row>
    <row r="28" spans="1:31" x14ac:dyDescent="0.25"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7"/>
      <c r="AB28" s="7"/>
      <c r="AC28" s="7"/>
      <c r="AD28" s="7"/>
      <c r="AE28" s="4"/>
    </row>
    <row r="29" spans="1:31" x14ac:dyDescent="0.25"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7"/>
      <c r="AB29" s="7"/>
      <c r="AC29" s="7"/>
      <c r="AD29" s="7"/>
      <c r="AE29" s="4"/>
    </row>
    <row r="31" spans="1:31" x14ac:dyDescent="0.25">
      <c r="Y31" s="14"/>
    </row>
    <row r="35" spans="25:25" x14ac:dyDescent="0.25">
      <c r="Y35" s="1"/>
    </row>
  </sheetData>
  <mergeCells count="19">
    <mergeCell ref="AA1:AD1"/>
    <mergeCell ref="R3:R4"/>
    <mergeCell ref="Q3:Q6"/>
    <mergeCell ref="Y3:Y4"/>
    <mergeCell ref="Y5:Y6"/>
    <mergeCell ref="T1:W1"/>
    <mergeCell ref="R5:R6"/>
    <mergeCell ref="Q11:Q14"/>
    <mergeCell ref="R11:R12"/>
    <mergeCell ref="R13:R14"/>
    <mergeCell ref="Q7:Q10"/>
    <mergeCell ref="R7:R8"/>
    <mergeCell ref="R9:R10"/>
    <mergeCell ref="F19:F20"/>
    <mergeCell ref="A1:B1"/>
    <mergeCell ref="F5:F6"/>
    <mergeCell ref="F17:F18"/>
    <mergeCell ref="H2:K2"/>
    <mergeCell ref="H15:K15"/>
  </mergeCells>
  <dataValidations count="4">
    <dataValidation type="list" allowBlank="1" showInputMessage="1" showErrorMessage="1" sqref="B5:B6" xr:uid="{67A8FB18-2B5F-4171-AB81-D30137B04E78}">
      <formula1>$I$23:$I$27</formula1>
    </dataValidation>
    <dataValidation type="list" allowBlank="1" showInputMessage="1" showErrorMessage="1" sqref="B4" xr:uid="{A4F598B7-31B4-4EEC-8FD0-72262E35A1C4}">
      <formula1>IF($B$2=$F$24,$H$23,$H$23:$H$24)</formula1>
    </dataValidation>
    <dataValidation type="list" allowBlank="1" showInputMessage="1" showErrorMessage="1" sqref="B2" xr:uid="{08A4C768-1393-4A3C-9136-D107615376E2}">
      <formula1>$F$23:$F$25</formula1>
    </dataValidation>
    <dataValidation type="list" allowBlank="1" showInputMessage="1" showErrorMessage="1" sqref="B3" xr:uid="{7BDA503C-92DF-4B80-A410-5A7DC6147214}">
      <formula1>$G$23:$G$24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8EFD5-5878-4E0A-96A2-F763E1D04FE7}">
  <dimension ref="A1:Q16"/>
  <sheetViews>
    <sheetView topLeftCell="K1" zoomScale="85" zoomScaleNormal="85" workbookViewId="0">
      <selection activeCell="M4" sqref="M4"/>
    </sheetView>
  </sheetViews>
  <sheetFormatPr defaultRowHeight="15" x14ac:dyDescent="0.25"/>
  <cols>
    <col min="1" max="1" width="23.7109375" customWidth="1"/>
    <col min="2" max="2" width="52.140625" customWidth="1"/>
    <col min="3" max="3" width="8.5703125" customWidth="1"/>
    <col min="11" max="11" width="19.42578125" style="22" bestFit="1" customWidth="1"/>
    <col min="12" max="12" width="46.85546875" style="22" customWidth="1"/>
    <col min="13" max="16" width="19.28515625" style="22" customWidth="1"/>
    <col min="17" max="17" width="20.7109375" customWidth="1"/>
  </cols>
  <sheetData>
    <row r="1" spans="1:17" ht="23.25" x14ac:dyDescent="0.35">
      <c r="A1" s="108" t="s">
        <v>39</v>
      </c>
      <c r="B1" s="108"/>
      <c r="C1" s="108"/>
    </row>
    <row r="2" spans="1:17" x14ac:dyDescent="0.25">
      <c r="A2" s="1" t="s">
        <v>179</v>
      </c>
      <c r="B2" s="2"/>
      <c r="K2" s="104"/>
      <c r="L2" s="104"/>
      <c r="M2" s="104"/>
      <c r="N2" s="104"/>
      <c r="O2" s="104"/>
      <c r="P2" s="104"/>
      <c r="Q2" s="4"/>
    </row>
    <row r="3" spans="1:17" x14ac:dyDescent="0.25">
      <c r="A3" s="1" t="s">
        <v>180</v>
      </c>
      <c r="B3" s="2"/>
      <c r="K3" s="104"/>
      <c r="L3" s="104" t="s">
        <v>171</v>
      </c>
      <c r="M3" s="4" t="s">
        <v>172</v>
      </c>
      <c r="N3" s="104"/>
      <c r="O3" s="104"/>
      <c r="P3" s="104"/>
      <c r="Q3" s="4"/>
    </row>
    <row r="4" spans="1:17" x14ac:dyDescent="0.25">
      <c r="A4" s="1"/>
      <c r="K4" s="104"/>
      <c r="L4" s="104"/>
      <c r="M4" s="130" t="s">
        <v>173</v>
      </c>
      <c r="N4" s="104"/>
      <c r="O4" s="104"/>
      <c r="P4" s="104"/>
      <c r="Q4" s="4"/>
    </row>
    <row r="5" spans="1:17" x14ac:dyDescent="0.25">
      <c r="A5" s="1" t="s">
        <v>30</v>
      </c>
      <c r="B5" s="25" t="str">
        <f>IFERROR(INDEX(M9:P12, MATCH(B2,L9:L12,0), MATCH(B3,M8:P8,0))," ")</f>
        <v xml:space="preserve"> </v>
      </c>
      <c r="K5" s="104"/>
      <c r="L5" s="104"/>
      <c r="M5" s="104"/>
      <c r="N5" s="104"/>
      <c r="O5" s="104"/>
      <c r="P5" s="104"/>
      <c r="Q5" s="4"/>
    </row>
    <row r="6" spans="1:17" x14ac:dyDescent="0.25">
      <c r="K6" s="104"/>
      <c r="L6" s="104"/>
      <c r="M6" s="104"/>
      <c r="N6" s="104"/>
      <c r="O6" s="104"/>
      <c r="P6" s="104"/>
      <c r="Q6" s="4"/>
    </row>
    <row r="7" spans="1:17" x14ac:dyDescent="0.25">
      <c r="K7" s="4"/>
      <c r="L7" s="104"/>
      <c r="M7" s="104"/>
      <c r="N7" s="104"/>
      <c r="O7" s="104"/>
      <c r="P7" s="104"/>
      <c r="Q7" s="104"/>
    </row>
    <row r="8" spans="1:17" ht="45" x14ac:dyDescent="0.25">
      <c r="K8" s="4"/>
      <c r="L8" s="104"/>
      <c r="M8" s="104" t="s">
        <v>174</v>
      </c>
      <c r="N8" s="104" t="s">
        <v>184</v>
      </c>
      <c r="O8" s="104" t="s">
        <v>170</v>
      </c>
      <c r="P8" s="104" t="s">
        <v>183</v>
      </c>
      <c r="Q8" s="4"/>
    </row>
    <row r="9" spans="1:17" x14ac:dyDescent="0.25">
      <c r="K9" s="4"/>
      <c r="L9" s="104" t="s">
        <v>174</v>
      </c>
      <c r="M9" s="105">
        <v>1</v>
      </c>
      <c r="N9" s="105">
        <v>0.42</v>
      </c>
      <c r="O9" s="106">
        <f>ROUND(O10*N9,3)</f>
        <v>0.20899999999999999</v>
      </c>
      <c r="P9" s="106">
        <f>ROUND(P10*N9,3)</f>
        <v>0.26900000000000002</v>
      </c>
      <c r="Q9" s="4"/>
    </row>
    <row r="10" spans="1:17" ht="30" x14ac:dyDescent="0.25">
      <c r="K10" s="4"/>
      <c r="L10" s="104" t="s">
        <v>184</v>
      </c>
      <c r="M10" s="105" t="s">
        <v>175</v>
      </c>
      <c r="N10" s="105">
        <v>1</v>
      </c>
      <c r="O10" s="105">
        <v>0.498</v>
      </c>
      <c r="P10" s="105">
        <v>0.64</v>
      </c>
      <c r="Q10" s="4"/>
    </row>
    <row r="11" spans="1:17" x14ac:dyDescent="0.25">
      <c r="K11" s="4"/>
      <c r="L11" s="104" t="s">
        <v>170</v>
      </c>
      <c r="M11" s="105" t="s">
        <v>175</v>
      </c>
      <c r="N11" s="105" t="s">
        <v>175</v>
      </c>
      <c r="O11" s="105">
        <v>1</v>
      </c>
      <c r="P11" s="105">
        <v>1</v>
      </c>
      <c r="Q11" s="4"/>
    </row>
    <row r="12" spans="1:17" ht="45" x14ac:dyDescent="0.25">
      <c r="K12" s="4"/>
      <c r="L12" s="104" t="s">
        <v>183</v>
      </c>
      <c r="M12" s="105" t="s">
        <v>175</v>
      </c>
      <c r="N12" s="105" t="s">
        <v>175</v>
      </c>
      <c r="O12" s="105" t="s">
        <v>175</v>
      </c>
      <c r="P12" s="105">
        <v>1</v>
      </c>
      <c r="Q12" s="4"/>
    </row>
    <row r="13" spans="1:17" x14ac:dyDescent="0.25">
      <c r="K13" s="4"/>
      <c r="L13" s="104"/>
      <c r="M13" s="104"/>
      <c r="N13" s="104"/>
      <c r="O13" s="104"/>
      <c r="P13" s="104"/>
      <c r="Q13" s="4"/>
    </row>
    <row r="14" spans="1:17" x14ac:dyDescent="0.25">
      <c r="K14" s="104"/>
      <c r="L14" s="104"/>
      <c r="M14" s="104"/>
      <c r="N14" s="104"/>
      <c r="O14" s="104"/>
      <c r="P14" s="104"/>
      <c r="Q14" s="4"/>
    </row>
    <row r="15" spans="1:17" x14ac:dyDescent="0.25">
      <c r="K15" s="104"/>
      <c r="L15" s="104"/>
      <c r="M15" s="104"/>
      <c r="N15" s="104"/>
      <c r="O15" s="104"/>
      <c r="P15" s="104"/>
      <c r="Q15" s="4"/>
    </row>
    <row r="16" spans="1:17" x14ac:dyDescent="0.25">
      <c r="K16" s="104"/>
      <c r="L16" s="104"/>
      <c r="M16" s="104"/>
      <c r="N16" s="104"/>
      <c r="O16" s="104"/>
      <c r="P16" s="104"/>
      <c r="Q16" s="4"/>
    </row>
  </sheetData>
  <mergeCells count="1">
    <mergeCell ref="A1:C1"/>
  </mergeCells>
  <dataValidations count="2">
    <dataValidation type="list" allowBlank="1" showInputMessage="1" showErrorMessage="1" sqref="B2" xr:uid="{6DE19253-34D7-4AF1-98CB-FB641D024F2B}">
      <formula1>M8:P8</formula1>
    </dataValidation>
    <dataValidation type="list" allowBlank="1" showInputMessage="1" showErrorMessage="1" sqref="B3" xr:uid="{CF85FED5-E802-4BED-93FB-0EAD4E02C141}">
      <formula1>$M$8:$P$8</formula1>
    </dataValidation>
  </dataValidations>
  <hyperlinks>
    <hyperlink ref="M4" r:id="rId1" xr:uid="{8252C279-DB9D-44C9-B231-7A8B818300BC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Skew Angle</vt:lpstr>
      <vt:lpstr>Acceleration Lane</vt:lpstr>
      <vt:lpstr>Widen Lane - Rural</vt:lpstr>
      <vt:lpstr>Widen Lane - Urban</vt:lpstr>
      <vt:lpstr>Shoulder Widening</vt:lpstr>
      <vt:lpstr>RHR</vt:lpstr>
      <vt:lpstr>Add Left-Turn Lane</vt:lpstr>
      <vt:lpstr>Add Right-Turn Lane</vt:lpstr>
      <vt:lpstr>Bicycle Facilities</vt:lpstr>
      <vt:lpstr>Driveway Density</vt:lpstr>
      <vt:lpstr>Area</vt:lpstr>
      <vt:lpstr>Legs</vt:lpstr>
      <vt:lpstr>RHR</vt:lpstr>
      <vt:lpstr>Types</vt:lpstr>
      <vt:lpstr>width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Gooch, Jeff</dc:creator>
  <cp:lastModifiedBy>Bunn, Andrew (OIPI)</cp:lastModifiedBy>
  <dcterms:created xsi:type="dcterms:W3CDTF">2020-02-28T21:07:13Z</dcterms:created>
  <dcterms:modified xsi:type="dcterms:W3CDTF">2026-01-20T16:56:01Z</dcterms:modified>
</cp:coreProperties>
</file>